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16215" windowHeight="7680"/>
  </bookViews>
  <sheets>
    <sheet name="Cover" sheetId="14" r:id="rId1"/>
    <sheet name="Instructions" sheetId="18" r:id="rId2"/>
    <sheet name="Set up" sheetId="16" r:id="rId3"/>
    <sheet name="Unit costs" sheetId="1" r:id="rId4"/>
    <sheet name="Blood sample &amp; packaging" sheetId="2" r:id="rId5"/>
    <sheet name="Centrifuge" sheetId="22" r:id="rId6"/>
    <sheet name="Running Machine" sheetId="23" r:id="rId7"/>
    <sheet name="Quality Assurance" sheetId="24" r:id="rId8"/>
    <sheet name="Training" sheetId="25" r:id="rId9"/>
    <sheet name="Transport" sheetId="27" r:id="rId10"/>
    <sheet name="Capital &amp; Overheads" sheetId="29" r:id="rId11"/>
    <sheet name="Results tables and graphs" sheetId="21" r:id="rId12"/>
    <sheet name="Drop Down Master List" sheetId="17" r:id="rId13"/>
    <sheet name="Selected populations" sheetId="20" r:id="rId14"/>
    <sheet name="Health Facilities" sheetId="28" r:id="rId15"/>
  </sheets>
  <externalReferences>
    <externalReference r:id="rId16"/>
    <externalReference r:id="rId17"/>
    <externalReference r:id="rId18"/>
    <externalReference r:id="rId19"/>
    <externalReference r:id="rId20"/>
  </externalReferences>
  <definedNames>
    <definedName name="Conversion_factor" localSheetId="0">[1]Setup!$R$8</definedName>
    <definedName name="Conversion_factor" localSheetId="11">[2]Setup!$R$8</definedName>
    <definedName name="Conversion_factor" localSheetId="13">[2]Setup!$R$8</definedName>
    <definedName name="Conversion_factor">[3]Setup!$R$8</definedName>
    <definedName name="Exchange_rate" localSheetId="0">[1]Setup!$B$5</definedName>
    <definedName name="Exchange_rate" localSheetId="11">[2]Setup!$B$5</definedName>
    <definedName name="Exchange_rate" localSheetId="13">[2]Setup!$B$5</definedName>
    <definedName name="Exchange_rate">[3]Setup!$B$5</definedName>
    <definedName name="Hospital_circumcision_share">'[4]Share of Facility Time'!$C$13</definedName>
    <definedName name="Occupations">'[5]Human resource costs'!$B$17:$L$31</definedName>
    <definedName name="Personnel_Cost" localSheetId="4">'Blood sample &amp; packaging'!#REF!</definedName>
    <definedName name="Personnel_Cost" localSheetId="10">'Capital &amp; Overheads'!#REF!</definedName>
    <definedName name="Personnel_Cost" localSheetId="5">Centrifuge!#REF!</definedName>
    <definedName name="Personnel_Cost" localSheetId="7">'Quality Assurance'!#REF!</definedName>
    <definedName name="Personnel_Cost" localSheetId="6">'Running Machine'!#REF!</definedName>
    <definedName name="Personnel_Cost" localSheetId="8">Training!#REF!</definedName>
    <definedName name="Personnel_Cost" localSheetId="9">Transport!#REF!</definedName>
    <definedName name="Visit_types">'[5]HR requirements'!$B$7:$B$14</definedName>
    <definedName name="Visits">'[5]Lab test costs'!$B$1:$B$8</definedName>
  </definedNames>
  <calcPr calcId="145621"/>
</workbook>
</file>

<file path=xl/calcChain.xml><?xml version="1.0" encoding="utf-8"?>
<calcChain xmlns="http://schemas.openxmlformats.org/spreadsheetml/2006/main">
  <c r="E11" i="25" l="1"/>
  <c r="E10" i="25"/>
  <c r="E9" i="25"/>
  <c r="E8" i="25"/>
  <c r="C73" i="1"/>
  <c r="C74" i="1"/>
  <c r="C75" i="1"/>
  <c r="C76" i="1"/>
  <c r="C77" i="1"/>
  <c r="C78" i="1"/>
  <c r="C79" i="1"/>
  <c r="C80" i="1"/>
  <c r="C81" i="1"/>
  <c r="C82" i="1"/>
  <c r="C83" i="1"/>
  <c r="C72" i="1"/>
  <c r="B5" i="21" l="1"/>
  <c r="B6" i="21"/>
  <c r="B7" i="21"/>
  <c r="B4" i="21"/>
  <c r="C56" i="21" l="1"/>
  <c r="D56" i="21"/>
  <c r="E56" i="21"/>
  <c r="F56" i="21"/>
  <c r="G56" i="21"/>
  <c r="H56" i="21"/>
  <c r="I56" i="21"/>
  <c r="J56" i="21"/>
  <c r="K56" i="21"/>
  <c r="L56" i="21"/>
  <c r="B56" i="21"/>
  <c r="C44" i="21"/>
  <c r="D44" i="21"/>
  <c r="E44" i="21"/>
  <c r="F44" i="21"/>
  <c r="G44" i="21"/>
  <c r="H44" i="21"/>
  <c r="I44" i="21"/>
  <c r="J44" i="21"/>
  <c r="K44" i="21"/>
  <c r="L44" i="21"/>
  <c r="B44" i="21"/>
  <c r="C2" i="21"/>
  <c r="D2" i="21"/>
  <c r="E2" i="21"/>
  <c r="F2" i="21"/>
  <c r="G2" i="21"/>
  <c r="H2" i="21"/>
  <c r="I2" i="21"/>
  <c r="J2" i="21"/>
  <c r="K2" i="21"/>
  <c r="L2" i="21"/>
  <c r="B2" i="21"/>
  <c r="C11" i="21"/>
  <c r="D11" i="21"/>
  <c r="E11" i="21"/>
  <c r="F11" i="21"/>
  <c r="G11" i="21"/>
  <c r="H11" i="21"/>
  <c r="I11" i="21"/>
  <c r="J11" i="21"/>
  <c r="K11" i="21"/>
  <c r="L11" i="21"/>
  <c r="B11" i="21"/>
  <c r="C32" i="21"/>
  <c r="D32" i="21"/>
  <c r="E32" i="21"/>
  <c r="F32" i="21"/>
  <c r="G32" i="21"/>
  <c r="H32" i="21"/>
  <c r="I32" i="21"/>
  <c r="J32" i="21"/>
  <c r="K32" i="21"/>
  <c r="L32" i="21"/>
  <c r="B32" i="21"/>
  <c r="A13" i="21" l="1"/>
  <c r="A14" i="21"/>
  <c r="A15" i="21"/>
  <c r="A12" i="21"/>
  <c r="F8" i="2"/>
  <c r="G11" i="29"/>
  <c r="G10" i="29"/>
  <c r="G9" i="29"/>
  <c r="G8" i="29"/>
  <c r="F121" i="24" l="1"/>
  <c r="F122" i="24"/>
  <c r="F123" i="24"/>
  <c r="F135" i="24"/>
  <c r="F136" i="24"/>
  <c r="F137" i="24"/>
  <c r="F138" i="24"/>
  <c r="F139" i="24"/>
  <c r="F140" i="24"/>
  <c r="F141" i="24"/>
  <c r="E121" i="24"/>
  <c r="E122" i="24"/>
  <c r="E123" i="24"/>
  <c r="E135" i="24"/>
  <c r="E136" i="24"/>
  <c r="E137" i="24"/>
  <c r="E138" i="24"/>
  <c r="E139" i="24"/>
  <c r="E140" i="24"/>
  <c r="E141" i="24"/>
  <c r="D121" i="24"/>
  <c r="D122" i="24"/>
  <c r="D123" i="24"/>
  <c r="D135" i="24"/>
  <c r="D136" i="24"/>
  <c r="D137" i="24"/>
  <c r="D138" i="24"/>
  <c r="D139" i="24"/>
  <c r="D140" i="24"/>
  <c r="D141" i="24"/>
  <c r="D120" i="24"/>
  <c r="E120" i="24"/>
  <c r="F120" i="24"/>
  <c r="C121" i="24"/>
  <c r="C122" i="24"/>
  <c r="C123" i="24"/>
  <c r="C135" i="24"/>
  <c r="C136" i="24"/>
  <c r="C137" i="24"/>
  <c r="C138" i="24"/>
  <c r="C139" i="24"/>
  <c r="C140" i="24"/>
  <c r="C141" i="24"/>
  <c r="C120" i="24"/>
  <c r="F121" i="23"/>
  <c r="F122" i="23"/>
  <c r="F123" i="23"/>
  <c r="F130" i="23"/>
  <c r="F131" i="23"/>
  <c r="F132" i="23"/>
  <c r="F133" i="23"/>
  <c r="F134" i="23"/>
  <c r="F135" i="23"/>
  <c r="F136" i="23"/>
  <c r="F137" i="23"/>
  <c r="F138" i="23"/>
  <c r="F139" i="23"/>
  <c r="E121" i="23"/>
  <c r="E122" i="23"/>
  <c r="E123" i="23"/>
  <c r="E130" i="23"/>
  <c r="E131" i="23"/>
  <c r="E132" i="23"/>
  <c r="E133" i="23"/>
  <c r="E134" i="23"/>
  <c r="E135" i="23"/>
  <c r="E136" i="23"/>
  <c r="E137" i="23"/>
  <c r="E138" i="23"/>
  <c r="E139" i="23"/>
  <c r="D121" i="23"/>
  <c r="D122" i="23"/>
  <c r="D123" i="23"/>
  <c r="D130" i="23"/>
  <c r="D131" i="23"/>
  <c r="D132" i="23"/>
  <c r="D133" i="23"/>
  <c r="D134" i="23"/>
  <c r="D135" i="23"/>
  <c r="D136" i="23"/>
  <c r="D137" i="23"/>
  <c r="D138" i="23"/>
  <c r="D139" i="23"/>
  <c r="F120" i="23"/>
  <c r="E120" i="23"/>
  <c r="D120" i="23"/>
  <c r="C121" i="23"/>
  <c r="C122" i="23"/>
  <c r="C123" i="23"/>
  <c r="C130" i="23"/>
  <c r="C131" i="23"/>
  <c r="C132" i="23"/>
  <c r="C133" i="23"/>
  <c r="C134" i="23"/>
  <c r="C135" i="23"/>
  <c r="C136" i="23"/>
  <c r="C137" i="23"/>
  <c r="C138" i="23"/>
  <c r="C139" i="23"/>
  <c r="C120" i="23"/>
  <c r="C112" i="23"/>
  <c r="C113" i="23"/>
  <c r="C114" i="23"/>
  <c r="H114" i="23" s="1"/>
  <c r="C115" i="23"/>
  <c r="H115" i="23" s="1"/>
  <c r="C111" i="23"/>
  <c r="C106" i="23"/>
  <c r="C107" i="23"/>
  <c r="C108" i="23"/>
  <c r="H108" i="23" s="1"/>
  <c r="C109" i="23"/>
  <c r="H109" i="23" s="1"/>
  <c r="C105" i="23"/>
  <c r="C100" i="23"/>
  <c r="C101" i="23"/>
  <c r="C102" i="23"/>
  <c r="H102" i="23" s="1"/>
  <c r="C103" i="23"/>
  <c r="H103" i="23" s="1"/>
  <c r="C99" i="23"/>
  <c r="C94" i="23"/>
  <c r="C95" i="23"/>
  <c r="C96" i="23"/>
  <c r="H96" i="23" s="1"/>
  <c r="C97" i="23"/>
  <c r="H97" i="23" s="1"/>
  <c r="C93" i="23"/>
  <c r="B121" i="22"/>
  <c r="F94" i="22"/>
  <c r="F95" i="22"/>
  <c r="F104" i="22"/>
  <c r="F105" i="22"/>
  <c r="F106" i="22"/>
  <c r="F107" i="22"/>
  <c r="F108" i="22"/>
  <c r="F109" i="22"/>
  <c r="F110" i="22"/>
  <c r="F111" i="22"/>
  <c r="F112" i="22"/>
  <c r="F113" i="22"/>
  <c r="F114" i="22"/>
  <c r="F115" i="22"/>
  <c r="F116" i="22"/>
  <c r="F117" i="22"/>
  <c r="F118" i="22"/>
  <c r="F119" i="22"/>
  <c r="F93" i="22"/>
  <c r="E94" i="22"/>
  <c r="E95" i="22"/>
  <c r="E104" i="22"/>
  <c r="E105" i="22"/>
  <c r="E106" i="22"/>
  <c r="E107" i="22"/>
  <c r="E108" i="22"/>
  <c r="E109" i="22"/>
  <c r="E110" i="22"/>
  <c r="E111" i="22"/>
  <c r="E112" i="22"/>
  <c r="E113" i="22"/>
  <c r="E114" i="22"/>
  <c r="E115" i="22"/>
  <c r="E116" i="22"/>
  <c r="E117" i="22"/>
  <c r="E118" i="22"/>
  <c r="E119" i="22"/>
  <c r="E93" i="22"/>
  <c r="D94" i="22"/>
  <c r="D95" i="22"/>
  <c r="D104" i="22"/>
  <c r="D105" i="22"/>
  <c r="D106" i="22"/>
  <c r="D107" i="22"/>
  <c r="D108" i="22"/>
  <c r="D109" i="22"/>
  <c r="D110" i="22"/>
  <c r="D111" i="22"/>
  <c r="D112" i="22"/>
  <c r="D113" i="22"/>
  <c r="D114" i="22"/>
  <c r="D115" i="22"/>
  <c r="D116" i="22"/>
  <c r="D117" i="22"/>
  <c r="D118" i="22"/>
  <c r="D119" i="22"/>
  <c r="D93" i="22"/>
  <c r="C94" i="22"/>
  <c r="C95" i="22"/>
  <c r="C104" i="22"/>
  <c r="C105" i="22"/>
  <c r="C106" i="22"/>
  <c r="C107" i="22"/>
  <c r="C108" i="22"/>
  <c r="C109" i="22"/>
  <c r="C110" i="22"/>
  <c r="C111" i="22"/>
  <c r="C112" i="22"/>
  <c r="C113" i="22"/>
  <c r="C114" i="22"/>
  <c r="C115" i="22"/>
  <c r="C116" i="22"/>
  <c r="C117" i="22"/>
  <c r="C118" i="22"/>
  <c r="C119" i="22"/>
  <c r="C93" i="22"/>
  <c r="B91" i="22"/>
  <c r="F95" i="2"/>
  <c r="F96" i="2"/>
  <c r="F97" i="2"/>
  <c r="F98" i="2"/>
  <c r="F99" i="2"/>
  <c r="F107" i="2"/>
  <c r="F108" i="2"/>
  <c r="F109" i="2"/>
  <c r="F110" i="2"/>
  <c r="F111" i="2"/>
  <c r="F112" i="2"/>
  <c r="F113" i="2"/>
  <c r="F114" i="2"/>
  <c r="F115" i="2"/>
  <c r="F116" i="2"/>
  <c r="F117" i="2"/>
  <c r="F118" i="2"/>
  <c r="F119" i="2"/>
  <c r="F120" i="2"/>
  <c r="E95" i="2"/>
  <c r="E96" i="2"/>
  <c r="E97" i="2"/>
  <c r="E98" i="2"/>
  <c r="E99" i="2"/>
  <c r="E107" i="2"/>
  <c r="E108" i="2"/>
  <c r="E109" i="2"/>
  <c r="E110" i="2"/>
  <c r="E111" i="2"/>
  <c r="E112" i="2"/>
  <c r="E113" i="2"/>
  <c r="E114" i="2"/>
  <c r="E115" i="2"/>
  <c r="E116" i="2"/>
  <c r="E117" i="2"/>
  <c r="E118" i="2"/>
  <c r="E119" i="2"/>
  <c r="E120" i="2"/>
  <c r="D95" i="2"/>
  <c r="D96" i="2"/>
  <c r="D97" i="2"/>
  <c r="D98" i="2"/>
  <c r="D99" i="2"/>
  <c r="D107" i="2"/>
  <c r="D108" i="2"/>
  <c r="D109" i="2"/>
  <c r="D110" i="2"/>
  <c r="D111" i="2"/>
  <c r="D112" i="2"/>
  <c r="D113" i="2"/>
  <c r="D114" i="2"/>
  <c r="D115" i="2"/>
  <c r="D116" i="2"/>
  <c r="D117" i="2"/>
  <c r="D118" i="2"/>
  <c r="D119" i="2"/>
  <c r="D120" i="2"/>
  <c r="C95" i="2"/>
  <c r="C96" i="2"/>
  <c r="C97" i="2"/>
  <c r="C98" i="2"/>
  <c r="C99" i="2"/>
  <c r="C107" i="2"/>
  <c r="C108" i="2"/>
  <c r="C109" i="2"/>
  <c r="C110" i="2"/>
  <c r="C111" i="2"/>
  <c r="C112" i="2"/>
  <c r="C113" i="2"/>
  <c r="C114" i="2"/>
  <c r="C115" i="2"/>
  <c r="C116" i="2"/>
  <c r="C117" i="2"/>
  <c r="C118" i="2"/>
  <c r="C119" i="2"/>
  <c r="C120" i="2"/>
  <c r="M38" i="29" l="1"/>
  <c r="N38" i="29" s="1"/>
  <c r="O38" i="29" s="1"/>
  <c r="M39" i="29"/>
  <c r="N39" i="29" s="1"/>
  <c r="O39" i="29" s="1"/>
  <c r="M40" i="29"/>
  <c r="N40" i="29" s="1"/>
  <c r="O40" i="29" s="1"/>
  <c r="M41" i="29"/>
  <c r="N41" i="29" s="1"/>
  <c r="O41" i="29" s="1"/>
  <c r="D25" i="1" l="1"/>
  <c r="M31" i="28"/>
  <c r="M32" i="28"/>
  <c r="J32" i="28"/>
  <c r="I32" i="28"/>
  <c r="H32" i="28"/>
  <c r="G32" i="28"/>
  <c r="F32" i="28"/>
  <c r="E32" i="28"/>
  <c r="D32" i="28"/>
  <c r="C32" i="28"/>
  <c r="J31" i="28"/>
  <c r="I31" i="28"/>
  <c r="H31" i="28"/>
  <c r="G31" i="28"/>
  <c r="F31" i="28"/>
  <c r="E31" i="28"/>
  <c r="D31" i="28"/>
  <c r="C31" i="28"/>
  <c r="B79" i="23"/>
  <c r="B80" i="23"/>
  <c r="B81" i="23"/>
  <c r="B82" i="23"/>
  <c r="B83" i="23"/>
  <c r="B84" i="23"/>
  <c r="B85" i="23"/>
  <c r="B86" i="23"/>
  <c r="C75" i="27" l="1"/>
  <c r="D75" i="27"/>
  <c r="E75" i="27"/>
  <c r="F75" i="27"/>
  <c r="C76" i="27"/>
  <c r="D76" i="27"/>
  <c r="E76" i="27"/>
  <c r="F76" i="27"/>
  <c r="C77" i="27"/>
  <c r="D77" i="27"/>
  <c r="E77" i="27"/>
  <c r="F77" i="27"/>
  <c r="C78" i="27"/>
  <c r="D78" i="27"/>
  <c r="E78" i="27"/>
  <c r="F78" i="27"/>
  <c r="C79" i="27"/>
  <c r="D79" i="27"/>
  <c r="E79" i="27"/>
  <c r="F79" i="27"/>
  <c r="C80" i="27"/>
  <c r="D80" i="27"/>
  <c r="E80" i="27"/>
  <c r="F80" i="27"/>
  <c r="C81" i="27"/>
  <c r="D81" i="27"/>
  <c r="E81" i="27"/>
  <c r="F81" i="27"/>
  <c r="C82" i="27"/>
  <c r="D82" i="27"/>
  <c r="E82" i="27"/>
  <c r="F82" i="27"/>
  <c r="C83" i="27"/>
  <c r="D83" i="27"/>
  <c r="E83" i="27"/>
  <c r="F83" i="27"/>
  <c r="C84" i="27"/>
  <c r="D84" i="27"/>
  <c r="E84" i="27"/>
  <c r="F84" i="27"/>
  <c r="C85" i="27"/>
  <c r="D85" i="27"/>
  <c r="E85" i="27"/>
  <c r="F85" i="27"/>
  <c r="C86" i="27"/>
  <c r="D86" i="27"/>
  <c r="E86" i="27"/>
  <c r="F86" i="27"/>
  <c r="C87" i="27"/>
  <c r="D87" i="27"/>
  <c r="E87" i="27"/>
  <c r="F87" i="27"/>
  <c r="D74" i="27"/>
  <c r="E74" i="27"/>
  <c r="F74" i="27"/>
  <c r="C74" i="27"/>
  <c r="C169" i="27"/>
  <c r="D169" i="27"/>
  <c r="E169" i="27"/>
  <c r="F169" i="27"/>
  <c r="C171" i="27"/>
  <c r="D171" i="27"/>
  <c r="E171" i="27"/>
  <c r="F171" i="27"/>
  <c r="C172" i="27"/>
  <c r="D172" i="27"/>
  <c r="E172" i="27"/>
  <c r="F172" i="27"/>
  <c r="C173" i="27"/>
  <c r="D173" i="27"/>
  <c r="E173" i="27"/>
  <c r="F173" i="27"/>
  <c r="C174" i="27"/>
  <c r="D174" i="27"/>
  <c r="E174" i="27"/>
  <c r="F174" i="27"/>
  <c r="C175" i="27"/>
  <c r="D175" i="27"/>
  <c r="E175" i="27"/>
  <c r="F175" i="27"/>
  <c r="C176" i="27"/>
  <c r="D176" i="27"/>
  <c r="E176" i="27"/>
  <c r="F176" i="27"/>
  <c r="C177" i="27"/>
  <c r="D177" i="27"/>
  <c r="E177" i="27"/>
  <c r="F177" i="27"/>
  <c r="C178" i="27"/>
  <c r="D178" i="27"/>
  <c r="E178" i="27"/>
  <c r="F178" i="27"/>
  <c r="C179" i="27"/>
  <c r="D179" i="27"/>
  <c r="E179" i="27"/>
  <c r="F179" i="27"/>
  <c r="D166" i="27"/>
  <c r="E166" i="27"/>
  <c r="F166" i="27"/>
  <c r="C166" i="27"/>
  <c r="A7" i="21" l="1"/>
  <c r="B65" i="29" l="1"/>
  <c r="B66" i="29"/>
  <c r="B67" i="29"/>
  <c r="B68" i="29"/>
  <c r="B69" i="29"/>
  <c r="B61" i="29"/>
  <c r="B62" i="29"/>
  <c r="B63" i="29"/>
  <c r="B64" i="29"/>
  <c r="F65" i="24"/>
  <c r="A55" i="21"/>
  <c r="F57" i="23"/>
  <c r="F61" i="22"/>
  <c r="F55" i="2"/>
  <c r="D21" i="16"/>
  <c r="F69" i="24" l="1"/>
  <c r="E19" i="1"/>
  <c r="F62" i="2"/>
  <c r="F57" i="22"/>
  <c r="F61" i="24"/>
  <c r="F58" i="2"/>
  <c r="F69" i="23"/>
  <c r="F69" i="22"/>
  <c r="F61" i="23"/>
  <c r="F59" i="24"/>
  <c r="F55" i="27"/>
  <c r="F59" i="27"/>
  <c r="F56" i="27"/>
  <c r="F60" i="27"/>
  <c r="F57" i="27"/>
  <c r="F53" i="27"/>
  <c r="F54" i="27"/>
  <c r="F58" i="27"/>
  <c r="E68" i="21"/>
  <c r="E75" i="21"/>
  <c r="E74" i="21"/>
  <c r="E73" i="21"/>
  <c r="E72" i="21"/>
  <c r="E71" i="21"/>
  <c r="E70" i="21"/>
  <c r="E69" i="21"/>
  <c r="F66" i="2"/>
  <c r="F65" i="22"/>
  <c r="F65" i="23"/>
  <c r="F57" i="24"/>
  <c r="F65" i="2"/>
  <c r="F61" i="2"/>
  <c r="F64" i="22"/>
  <c r="F67" i="2"/>
  <c r="F63" i="2"/>
  <c r="F59" i="2"/>
  <c r="F55" i="22"/>
  <c r="F66" i="22"/>
  <c r="F62" i="22"/>
  <c r="F58" i="22"/>
  <c r="F70" i="23"/>
  <c r="F66" i="23"/>
  <c r="F62" i="23"/>
  <c r="F58" i="23"/>
  <c r="F55" i="24"/>
  <c r="F66" i="24"/>
  <c r="F62" i="24"/>
  <c r="F58" i="24"/>
  <c r="F69" i="2"/>
  <c r="F68" i="22"/>
  <c r="F56" i="22"/>
  <c r="F68" i="23"/>
  <c r="F64" i="23"/>
  <c r="F60" i="23"/>
  <c r="F68" i="24"/>
  <c r="F64" i="24"/>
  <c r="F60" i="24"/>
  <c r="F56" i="24"/>
  <c r="F57" i="2"/>
  <c r="F60" i="22"/>
  <c r="F68" i="2"/>
  <c r="F64" i="2"/>
  <c r="F60" i="2"/>
  <c r="F56" i="2"/>
  <c r="F67" i="22"/>
  <c r="F63" i="22"/>
  <c r="F59" i="22"/>
  <c r="F56" i="23"/>
  <c r="F67" i="23"/>
  <c r="F63" i="23"/>
  <c r="F59" i="23"/>
  <c r="F67" i="24"/>
  <c r="F63" i="24"/>
  <c r="D19" i="16"/>
  <c r="E17" i="1" s="1"/>
  <c r="D20" i="16"/>
  <c r="D18" i="16"/>
  <c r="F204" i="1"/>
  <c r="F205" i="1"/>
  <c r="F206" i="1"/>
  <c r="F203" i="1"/>
  <c r="F180" i="1"/>
  <c r="F181" i="1"/>
  <c r="F182" i="1"/>
  <c r="F183" i="1"/>
  <c r="F184" i="1"/>
  <c r="F185" i="1"/>
  <c r="F186" i="1"/>
  <c r="F187" i="1"/>
  <c r="F188" i="1"/>
  <c r="F189" i="1"/>
  <c r="F190" i="1"/>
  <c r="F191" i="1"/>
  <c r="F192" i="1"/>
  <c r="F193" i="1"/>
  <c r="F194" i="1"/>
  <c r="F195" i="1"/>
  <c r="F196" i="1"/>
  <c r="F197" i="1"/>
  <c r="F198" i="1"/>
  <c r="F199" i="1"/>
  <c r="F200" i="1"/>
  <c r="F201" i="1"/>
  <c r="F202" i="1"/>
  <c r="F179" i="1"/>
  <c r="F178" i="1"/>
  <c r="F20" i="16"/>
  <c r="F21" i="16"/>
  <c r="F19" i="16"/>
  <c r="F18" i="16"/>
  <c r="E20" i="16"/>
  <c r="E21" i="16"/>
  <c r="E19" i="16"/>
  <c r="E18" i="16"/>
  <c r="F85" i="23" l="1"/>
  <c r="F80" i="23"/>
  <c r="F83" i="23"/>
  <c r="F86" i="23"/>
  <c r="F84" i="23"/>
  <c r="F81" i="23"/>
  <c r="F82" i="23"/>
  <c r="C115" i="24"/>
  <c r="H115" i="24" s="1"/>
  <c r="C116" i="24"/>
  <c r="H116" i="24" s="1"/>
  <c r="C112" i="24"/>
  <c r="C113" i="24"/>
  <c r="H113" i="24" s="1"/>
  <c r="C114" i="24"/>
  <c r="H114" i="24" s="1"/>
  <c r="E18" i="1"/>
  <c r="E144" i="27"/>
  <c r="E148" i="27"/>
  <c r="F145" i="27"/>
  <c r="F149" i="27"/>
  <c r="E56" i="27"/>
  <c r="E60" i="27"/>
  <c r="E145" i="27"/>
  <c r="E149" i="27"/>
  <c r="F146" i="27"/>
  <c r="F150" i="27"/>
  <c r="E57" i="27"/>
  <c r="E53" i="27"/>
  <c r="E146" i="27"/>
  <c r="E150" i="27"/>
  <c r="F147" i="27"/>
  <c r="F143" i="27"/>
  <c r="E54" i="27"/>
  <c r="E58" i="27"/>
  <c r="E147" i="27"/>
  <c r="F144" i="27"/>
  <c r="F148" i="27"/>
  <c r="E143" i="27"/>
  <c r="E55" i="27"/>
  <c r="E59" i="27"/>
  <c r="D75" i="21"/>
  <c r="D71" i="21"/>
  <c r="D74" i="21"/>
  <c r="D70" i="21"/>
  <c r="D73" i="21"/>
  <c r="D69" i="21"/>
  <c r="D72" i="21"/>
  <c r="D68" i="21"/>
  <c r="C109" i="24"/>
  <c r="H109" i="24" s="1"/>
  <c r="C108" i="24"/>
  <c r="H108" i="24" s="1"/>
  <c r="C110" i="24"/>
  <c r="H110" i="24" s="1"/>
  <c r="C107" i="24"/>
  <c r="H107" i="24" s="1"/>
  <c r="C106" i="24"/>
  <c r="C98" i="24"/>
  <c r="C95" i="24"/>
  <c r="C94" i="24"/>
  <c r="C96" i="24"/>
  <c r="H96" i="24" s="1"/>
  <c r="C97" i="24"/>
  <c r="H97" i="24" s="1"/>
  <c r="C101" i="24"/>
  <c r="C100" i="24"/>
  <c r="C102" i="24"/>
  <c r="H102" i="24" s="1"/>
  <c r="C103" i="24"/>
  <c r="H103" i="24" s="1"/>
  <c r="C104" i="24"/>
  <c r="H104" i="24" s="1"/>
  <c r="E16" i="1"/>
  <c r="C14" i="16"/>
  <c r="H98" i="24"/>
  <c r="D145" i="27"/>
  <c r="D149" i="27"/>
  <c r="D55" i="27"/>
  <c r="D59" i="27"/>
  <c r="D146" i="27"/>
  <c r="D150" i="27"/>
  <c r="D56" i="27"/>
  <c r="D60" i="27"/>
  <c r="D54" i="27"/>
  <c r="D147" i="27"/>
  <c r="D143" i="27"/>
  <c r="D57" i="27"/>
  <c r="D53" i="27"/>
  <c r="D144" i="27"/>
  <c r="D148" i="27"/>
  <c r="D58" i="27"/>
  <c r="C72" i="21"/>
  <c r="C68" i="21"/>
  <c r="C75" i="21"/>
  <c r="C71" i="21"/>
  <c r="C69" i="21"/>
  <c r="C74" i="21"/>
  <c r="C70" i="21"/>
  <c r="C73" i="21"/>
  <c r="C145" i="27"/>
  <c r="C149" i="27"/>
  <c r="C54" i="27"/>
  <c r="C58" i="27"/>
  <c r="C146" i="27"/>
  <c r="C150" i="27"/>
  <c r="C59" i="27"/>
  <c r="C147" i="27"/>
  <c r="C143" i="27"/>
  <c r="C56" i="27"/>
  <c r="C60" i="27"/>
  <c r="C144" i="27"/>
  <c r="C148" i="27"/>
  <c r="C57" i="27"/>
  <c r="C53" i="27"/>
  <c r="C55" i="27"/>
  <c r="B72" i="21"/>
  <c r="B87" i="21"/>
  <c r="B89" i="21"/>
  <c r="B84" i="21"/>
  <c r="B71" i="21"/>
  <c r="B68" i="21"/>
  <c r="B88" i="21"/>
  <c r="B83" i="21"/>
  <c r="B75" i="21"/>
  <c r="B73" i="21"/>
  <c r="B86" i="21"/>
  <c r="B70" i="21"/>
  <c r="B90" i="21"/>
  <c r="B85" i="21"/>
  <c r="B74" i="21"/>
  <c r="B69" i="21"/>
  <c r="E57" i="24"/>
  <c r="E61" i="24"/>
  <c r="E65" i="24"/>
  <c r="E69" i="24"/>
  <c r="E59" i="23"/>
  <c r="E63" i="23"/>
  <c r="E80" i="23" s="1"/>
  <c r="E67" i="23"/>
  <c r="E84" i="23" s="1"/>
  <c r="E56" i="23"/>
  <c r="E59" i="22"/>
  <c r="E63" i="22"/>
  <c r="E67" i="22"/>
  <c r="E56" i="2"/>
  <c r="E60" i="2"/>
  <c r="E64" i="2"/>
  <c r="E68" i="2"/>
  <c r="E58" i="24"/>
  <c r="E62" i="24"/>
  <c r="E66" i="24"/>
  <c r="E55" i="24"/>
  <c r="E60" i="23"/>
  <c r="E64" i="23"/>
  <c r="E81" i="23" s="1"/>
  <c r="E68" i="23"/>
  <c r="E85" i="23" s="1"/>
  <c r="E56" i="22"/>
  <c r="E60" i="22"/>
  <c r="E64" i="22"/>
  <c r="E68" i="22"/>
  <c r="E57" i="2"/>
  <c r="E61" i="2"/>
  <c r="E59" i="24"/>
  <c r="E63" i="24"/>
  <c r="E67" i="24"/>
  <c r="E57" i="23"/>
  <c r="E61" i="23"/>
  <c r="E65" i="23"/>
  <c r="E82" i="23" s="1"/>
  <c r="E69" i="23"/>
  <c r="E86" i="23" s="1"/>
  <c r="E57" i="22"/>
  <c r="E61" i="22"/>
  <c r="E65" i="22"/>
  <c r="E69" i="22"/>
  <c r="E58" i="2"/>
  <c r="E62" i="2"/>
  <c r="E66" i="2"/>
  <c r="E55" i="2"/>
  <c r="E56" i="24"/>
  <c r="E60" i="24"/>
  <c r="E64" i="24"/>
  <c r="E68" i="24"/>
  <c r="E58" i="23"/>
  <c r="E62" i="23"/>
  <c r="E66" i="23"/>
  <c r="E83" i="23" s="1"/>
  <c r="E70" i="23"/>
  <c r="E58" i="22"/>
  <c r="E62" i="22"/>
  <c r="E66" i="22"/>
  <c r="E55" i="22"/>
  <c r="E59" i="2"/>
  <c r="E63" i="2"/>
  <c r="E67" i="2"/>
  <c r="E65" i="2"/>
  <c r="E69" i="2"/>
  <c r="D59" i="24"/>
  <c r="D63" i="24"/>
  <c r="D67" i="24"/>
  <c r="D58" i="23"/>
  <c r="D62" i="23"/>
  <c r="D66" i="23"/>
  <c r="D83" i="23" s="1"/>
  <c r="D70" i="23"/>
  <c r="D59" i="22"/>
  <c r="D63" i="22"/>
  <c r="D67" i="22"/>
  <c r="D57" i="2"/>
  <c r="D61" i="2"/>
  <c r="D65" i="2"/>
  <c r="D69" i="2"/>
  <c r="D58" i="24"/>
  <c r="D66" i="24"/>
  <c r="D55" i="24"/>
  <c r="D61" i="23"/>
  <c r="D69" i="23"/>
  <c r="D86" i="23" s="1"/>
  <c r="D58" i="22"/>
  <c r="D55" i="22"/>
  <c r="D60" i="2"/>
  <c r="D68" i="2"/>
  <c r="D56" i="24"/>
  <c r="D60" i="24"/>
  <c r="D64" i="24"/>
  <c r="D68" i="24"/>
  <c r="D59" i="23"/>
  <c r="D63" i="23"/>
  <c r="D80" i="23" s="1"/>
  <c r="D67" i="23"/>
  <c r="D84" i="23" s="1"/>
  <c r="D56" i="23"/>
  <c r="D56" i="22"/>
  <c r="D60" i="22"/>
  <c r="D64" i="22"/>
  <c r="D68" i="22"/>
  <c r="D58" i="2"/>
  <c r="D62" i="2"/>
  <c r="D66" i="2"/>
  <c r="D55" i="2"/>
  <c r="D57" i="24"/>
  <c r="D61" i="24"/>
  <c r="D65" i="24"/>
  <c r="D69" i="24"/>
  <c r="D60" i="23"/>
  <c r="D64" i="23"/>
  <c r="D81" i="23" s="1"/>
  <c r="D68" i="23"/>
  <c r="D85" i="23" s="1"/>
  <c r="D57" i="22"/>
  <c r="D61" i="22"/>
  <c r="D65" i="22"/>
  <c r="D69" i="22"/>
  <c r="D59" i="2"/>
  <c r="D63" i="2"/>
  <c r="D67" i="2"/>
  <c r="D62" i="24"/>
  <c r="D57" i="23"/>
  <c r="D65" i="23"/>
  <c r="D82" i="23" s="1"/>
  <c r="D62" i="22"/>
  <c r="D66" i="22"/>
  <c r="D56" i="2"/>
  <c r="D64" i="2"/>
  <c r="C56" i="24"/>
  <c r="C60" i="24"/>
  <c r="C64" i="24"/>
  <c r="C68" i="24"/>
  <c r="C60" i="23"/>
  <c r="C64" i="23"/>
  <c r="C68" i="23"/>
  <c r="C58" i="22"/>
  <c r="C62" i="22"/>
  <c r="C66" i="22"/>
  <c r="C55" i="22"/>
  <c r="C57" i="2"/>
  <c r="C61" i="2"/>
  <c r="C65" i="2"/>
  <c r="C69" i="2"/>
  <c r="C62" i="24"/>
  <c r="C62" i="23"/>
  <c r="C70" i="23"/>
  <c r="C56" i="22"/>
  <c r="C68" i="22"/>
  <c r="C59" i="2"/>
  <c r="C59" i="24"/>
  <c r="C67" i="24"/>
  <c r="C63" i="23"/>
  <c r="C67" i="23"/>
  <c r="C61" i="22"/>
  <c r="C69" i="22"/>
  <c r="C56" i="2"/>
  <c r="C64" i="2"/>
  <c r="C57" i="24"/>
  <c r="C61" i="24"/>
  <c r="C65" i="24"/>
  <c r="C69" i="24"/>
  <c r="C57" i="23"/>
  <c r="C61" i="23"/>
  <c r="C65" i="23"/>
  <c r="C69" i="23"/>
  <c r="C59" i="22"/>
  <c r="C63" i="22"/>
  <c r="C67" i="22"/>
  <c r="C58" i="2"/>
  <c r="C62" i="2"/>
  <c r="C66" i="2"/>
  <c r="C55" i="2"/>
  <c r="C58" i="24"/>
  <c r="C66" i="24"/>
  <c r="C55" i="24"/>
  <c r="C58" i="23"/>
  <c r="C66" i="23"/>
  <c r="C60" i="22"/>
  <c r="C64" i="22"/>
  <c r="C63" i="2"/>
  <c r="C67" i="2"/>
  <c r="C63" i="24"/>
  <c r="C59" i="23"/>
  <c r="C56" i="23"/>
  <c r="C57" i="22"/>
  <c r="C65" i="22"/>
  <c r="C60" i="2"/>
  <c r="C68" i="2"/>
  <c r="G11" i="24"/>
  <c r="G10" i="24"/>
  <c r="G9" i="24"/>
  <c r="G8" i="24"/>
  <c r="E116" i="24"/>
  <c r="E115" i="24"/>
  <c r="E114" i="24"/>
  <c r="E113" i="24"/>
  <c r="E112" i="24"/>
  <c r="E111" i="24"/>
  <c r="B111" i="24"/>
  <c r="E110" i="24"/>
  <c r="E109" i="24"/>
  <c r="E108" i="24"/>
  <c r="E107" i="24"/>
  <c r="E106" i="24"/>
  <c r="E105" i="24"/>
  <c r="B105" i="24"/>
  <c r="E104" i="24"/>
  <c r="E103" i="24"/>
  <c r="E102" i="24"/>
  <c r="E101" i="24"/>
  <c r="E100" i="24"/>
  <c r="E99" i="24"/>
  <c r="B99" i="24"/>
  <c r="E98" i="24"/>
  <c r="E97" i="24"/>
  <c r="E96" i="24"/>
  <c r="E95" i="24"/>
  <c r="E94" i="24"/>
  <c r="D94" i="24"/>
  <c r="E93" i="24"/>
  <c r="B93" i="24"/>
  <c r="G11" i="23"/>
  <c r="G10" i="23"/>
  <c r="G9" i="23"/>
  <c r="G8" i="23"/>
  <c r="E112" i="23"/>
  <c r="E113" i="23"/>
  <c r="E114" i="23"/>
  <c r="E115" i="23"/>
  <c r="E111" i="23"/>
  <c r="E106" i="23"/>
  <c r="E107" i="23"/>
  <c r="E108" i="23"/>
  <c r="E109" i="23"/>
  <c r="E105" i="23"/>
  <c r="E100" i="23"/>
  <c r="E101" i="23"/>
  <c r="E102" i="23"/>
  <c r="E103" i="23"/>
  <c r="E99" i="23"/>
  <c r="E96" i="23"/>
  <c r="E97" i="23"/>
  <c r="E95" i="23"/>
  <c r="E94" i="23"/>
  <c r="E93" i="23"/>
  <c r="B110" i="23"/>
  <c r="E110" i="23"/>
  <c r="E104" i="23"/>
  <c r="E98" i="23"/>
  <c r="E92" i="23"/>
  <c r="B104" i="23" l="1"/>
  <c r="B98" i="23"/>
  <c r="B92" i="23"/>
  <c r="F66" i="28" l="1"/>
  <c r="F67" i="28"/>
  <c r="F69" i="28"/>
  <c r="F70" i="28"/>
  <c r="F71" i="28"/>
  <c r="F65" i="28"/>
  <c r="D69" i="28"/>
  <c r="D70" i="28"/>
  <c r="D71" i="28"/>
  <c r="D67" i="28"/>
  <c r="D66" i="28"/>
  <c r="D65" i="28"/>
  <c r="E72" i="28" l="1"/>
  <c r="F72" i="28" s="1"/>
  <c r="C72" i="28"/>
  <c r="D72" i="28" s="1"/>
  <c r="E68" i="28"/>
  <c r="F68" i="28" s="1"/>
  <c r="C68" i="28"/>
  <c r="D68" i="28" s="1"/>
  <c r="L42" i="29"/>
  <c r="K42" i="29"/>
  <c r="J42" i="29"/>
  <c r="I42" i="29"/>
  <c r="H42" i="29"/>
  <c r="G42" i="29"/>
  <c r="F42" i="29"/>
  <c r="E42" i="29"/>
  <c r="D28" i="29"/>
  <c r="D42" i="29"/>
  <c r="C42" i="29"/>
  <c r="D27" i="29"/>
  <c r="E33" i="28"/>
  <c r="E28" i="29" s="1"/>
  <c r="F33" i="28"/>
  <c r="G33" i="28"/>
  <c r="H33" i="28"/>
  <c r="H27" i="29" s="1"/>
  <c r="I33" i="28"/>
  <c r="I28" i="29" s="1"/>
  <c r="J33" i="28"/>
  <c r="K33" i="28"/>
  <c r="L33" i="28"/>
  <c r="L27" i="29" s="1"/>
  <c r="C33" i="28"/>
  <c r="C28" i="29" s="1"/>
  <c r="E29" i="28"/>
  <c r="E26" i="29" s="1"/>
  <c r="F29" i="28"/>
  <c r="F26" i="29" s="1"/>
  <c r="G29" i="28"/>
  <c r="G26" i="29" s="1"/>
  <c r="H29" i="28"/>
  <c r="H26" i="29" s="1"/>
  <c r="I29" i="28"/>
  <c r="I26" i="29" s="1"/>
  <c r="J29" i="28"/>
  <c r="J26" i="29" s="1"/>
  <c r="K29" i="28"/>
  <c r="K26" i="29" s="1"/>
  <c r="L29" i="28"/>
  <c r="L26" i="29" s="1"/>
  <c r="D29" i="28"/>
  <c r="D26" i="29" s="1"/>
  <c r="C29" i="28"/>
  <c r="C26" i="29" s="1"/>
  <c r="M27" i="28"/>
  <c r="M26" i="29" l="1"/>
  <c r="N26" i="29" s="1"/>
  <c r="O26" i="29" s="1"/>
  <c r="M42" i="29"/>
  <c r="N42" i="29" s="1"/>
  <c r="K29" i="29"/>
  <c r="K33" i="29"/>
  <c r="K37" i="29"/>
  <c r="K30" i="29"/>
  <c r="K34" i="29"/>
  <c r="K31" i="29"/>
  <c r="K35" i="29"/>
  <c r="K32" i="29"/>
  <c r="K36" i="29"/>
  <c r="G29" i="29"/>
  <c r="G33" i="29"/>
  <c r="G37" i="29"/>
  <c r="G30" i="29"/>
  <c r="G34" i="29"/>
  <c r="G31" i="29"/>
  <c r="G35" i="29"/>
  <c r="G32" i="29"/>
  <c r="G36" i="29"/>
  <c r="J32" i="29"/>
  <c r="J36" i="29"/>
  <c r="J29" i="29"/>
  <c r="J33" i="29"/>
  <c r="J37" i="29"/>
  <c r="J30" i="29"/>
  <c r="J34" i="29"/>
  <c r="J31" i="29"/>
  <c r="J35" i="29"/>
  <c r="F32" i="29"/>
  <c r="F36" i="29"/>
  <c r="F29" i="29"/>
  <c r="F33" i="29"/>
  <c r="F37" i="29"/>
  <c r="F30" i="29"/>
  <c r="F34" i="29"/>
  <c r="F31" i="29"/>
  <c r="F35" i="29"/>
  <c r="F28" i="29"/>
  <c r="G28" i="29"/>
  <c r="H28" i="29"/>
  <c r="J28" i="29"/>
  <c r="K28" i="29"/>
  <c r="L28" i="29"/>
  <c r="C29" i="29"/>
  <c r="C33" i="29"/>
  <c r="C37" i="29"/>
  <c r="C30" i="29"/>
  <c r="C34" i="29"/>
  <c r="C31" i="29"/>
  <c r="C35" i="29"/>
  <c r="C32" i="29"/>
  <c r="C36" i="29"/>
  <c r="I31" i="29"/>
  <c r="I35" i="29"/>
  <c r="I32" i="29"/>
  <c r="I36" i="29"/>
  <c r="I29" i="29"/>
  <c r="I33" i="29"/>
  <c r="I37" i="29"/>
  <c r="I30" i="29"/>
  <c r="I34" i="29"/>
  <c r="E31" i="29"/>
  <c r="E35" i="29"/>
  <c r="E32" i="29"/>
  <c r="E36" i="29"/>
  <c r="E29" i="29"/>
  <c r="E33" i="29"/>
  <c r="E37" i="29"/>
  <c r="E30" i="29"/>
  <c r="E34" i="29"/>
  <c r="C27" i="29"/>
  <c r="E27" i="29"/>
  <c r="F27" i="29"/>
  <c r="G27" i="29"/>
  <c r="I27" i="29"/>
  <c r="J27" i="29"/>
  <c r="K27" i="29"/>
  <c r="L30" i="29"/>
  <c r="L34" i="29"/>
  <c r="L31" i="29"/>
  <c r="L35" i="29"/>
  <c r="L32" i="29"/>
  <c r="L36" i="29"/>
  <c r="L29" i="29"/>
  <c r="L33" i="29"/>
  <c r="L37" i="29"/>
  <c r="H30" i="29"/>
  <c r="H34" i="29"/>
  <c r="H31" i="29"/>
  <c r="H35" i="29"/>
  <c r="H32" i="29"/>
  <c r="H36" i="29"/>
  <c r="H29" i="29"/>
  <c r="H33" i="29"/>
  <c r="H37" i="29"/>
  <c r="D30" i="29"/>
  <c r="D34" i="29"/>
  <c r="D31" i="29"/>
  <c r="D35" i="29"/>
  <c r="D32" i="29"/>
  <c r="D36" i="29"/>
  <c r="D29" i="29"/>
  <c r="D33" i="29"/>
  <c r="D37" i="29"/>
  <c r="F11" i="22"/>
  <c r="F10" i="22"/>
  <c r="F9" i="22"/>
  <c r="F8" i="22"/>
  <c r="B27" i="21" s="1"/>
  <c r="M37" i="29" l="1"/>
  <c r="M30" i="29"/>
  <c r="N30" i="29" s="1"/>
  <c r="O30" i="29" s="1"/>
  <c r="M28" i="29"/>
  <c r="N28" i="29" s="1"/>
  <c r="O28" i="29" s="1"/>
  <c r="M32" i="29"/>
  <c r="N32" i="29" s="1"/>
  <c r="O32" i="29" s="1"/>
  <c r="M27" i="29"/>
  <c r="N27" i="29" s="1"/>
  <c r="O27" i="29" s="1"/>
  <c r="M29" i="29"/>
  <c r="C61" i="29" s="1"/>
  <c r="D61" i="29" s="1"/>
  <c r="M31" i="29"/>
  <c r="N31" i="29" s="1"/>
  <c r="O31" i="29" s="1"/>
  <c r="N37" i="29"/>
  <c r="O37" i="29" s="1"/>
  <c r="M36" i="29"/>
  <c r="N36" i="29" s="1"/>
  <c r="O36" i="29" s="1"/>
  <c r="M34" i="29"/>
  <c r="E66" i="29" s="1"/>
  <c r="F66" i="29" s="1"/>
  <c r="M33" i="29"/>
  <c r="N33" i="29" s="1"/>
  <c r="O33" i="29" s="1"/>
  <c r="M35" i="29"/>
  <c r="N35" i="29" s="1"/>
  <c r="O35" i="29" s="1"/>
  <c r="E68" i="29"/>
  <c r="F68" i="29" s="1"/>
  <c r="C69" i="29"/>
  <c r="D69" i="29" s="1"/>
  <c r="E69" i="29"/>
  <c r="F69" i="29" s="1"/>
  <c r="C62" i="29"/>
  <c r="D62" i="29" s="1"/>
  <c r="F11" i="2"/>
  <c r="B63" i="21" s="1"/>
  <c r="F10" i="2"/>
  <c r="B51" i="21" s="1"/>
  <c r="F9" i="2"/>
  <c r="B39" i="21" s="1"/>
  <c r="E63" i="29" l="1"/>
  <c r="F63" i="29" s="1"/>
  <c r="E61" i="29"/>
  <c r="F61" i="29" s="1"/>
  <c r="E62" i="29"/>
  <c r="F62" i="29" s="1"/>
  <c r="E64" i="29"/>
  <c r="F64" i="29" s="1"/>
  <c r="C64" i="29"/>
  <c r="D64" i="29" s="1"/>
  <c r="E67" i="29"/>
  <c r="F67" i="29" s="1"/>
  <c r="C66" i="29"/>
  <c r="D66" i="29" s="1"/>
  <c r="N34" i="29"/>
  <c r="O34" i="29" s="1"/>
  <c r="C63" i="29"/>
  <c r="D63" i="29" s="1"/>
  <c r="C67" i="29"/>
  <c r="D67" i="29" s="1"/>
  <c r="N29" i="29"/>
  <c r="O29" i="29" s="1"/>
  <c r="C68" i="29"/>
  <c r="D68" i="29" s="1"/>
  <c r="E65" i="29"/>
  <c r="F65" i="29" s="1"/>
  <c r="C65" i="29"/>
  <c r="D65" i="29" s="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2" i="1"/>
  <c r="C123" i="1"/>
  <c r="C125" i="1"/>
  <c r="C126" i="1"/>
  <c r="C127" i="1"/>
  <c r="C128" i="1"/>
  <c r="C129" i="1"/>
  <c r="C130" i="1"/>
  <c r="C131" i="1"/>
  <c r="C132" i="1"/>
  <c r="C133" i="1"/>
  <c r="C134" i="1"/>
  <c r="C135" i="1"/>
  <c r="C136" i="1"/>
  <c r="C137" i="1"/>
  <c r="C161" i="1"/>
  <c r="C162" i="1"/>
  <c r="C163" i="1"/>
  <c r="C164" i="1"/>
  <c r="F164" i="1" s="1"/>
  <c r="C165" i="1"/>
  <c r="C166" i="1"/>
  <c r="C167" i="1"/>
  <c r="C168" i="1"/>
  <c r="C169" i="1"/>
  <c r="C170" i="1"/>
  <c r="C171" i="1"/>
  <c r="C172" i="1"/>
  <c r="C173" i="1"/>
  <c r="C87" i="1"/>
  <c r="C86" i="1"/>
  <c r="E82" i="1"/>
  <c r="F74" i="1"/>
  <c r="F75" i="1"/>
  <c r="F76" i="1"/>
  <c r="F77" i="1"/>
  <c r="F78" i="1"/>
  <c r="F79" i="1"/>
  <c r="F80" i="1"/>
  <c r="F81" i="1"/>
  <c r="H106" i="23" s="1"/>
  <c r="F82" i="1"/>
  <c r="F83" i="1"/>
  <c r="F73" i="1"/>
  <c r="F72" i="1"/>
  <c r="H113" i="23" l="1"/>
  <c r="H107" i="23"/>
  <c r="H95" i="23"/>
  <c r="H101" i="23"/>
  <c r="H111" i="23"/>
  <c r="H99" i="23"/>
  <c r="H105" i="23"/>
  <c r="H93" i="23"/>
  <c r="H112" i="23"/>
  <c r="H100" i="23"/>
  <c r="H94" i="23"/>
  <c r="H112" i="24"/>
  <c r="F11" i="24" s="1"/>
  <c r="H106" i="24"/>
  <c r="F10" i="24" s="1"/>
  <c r="H100" i="24"/>
  <c r="H94" i="24"/>
  <c r="H101" i="24"/>
  <c r="H95" i="24"/>
  <c r="A43" i="21"/>
  <c r="A31" i="21"/>
  <c r="A19" i="21"/>
  <c r="F8" i="24" l="1"/>
  <c r="F9" i="24"/>
  <c r="F10" i="23"/>
  <c r="B48" i="21" s="1"/>
  <c r="F9" i="23"/>
  <c r="F11" i="23"/>
  <c r="B60" i="21" s="1"/>
  <c r="F8" i="23"/>
  <c r="A6" i="21"/>
  <c r="A5" i="21"/>
  <c r="A4" i="21"/>
  <c r="F76" i="29"/>
  <c r="E76" i="29"/>
  <c r="D76" i="29"/>
  <c r="C76" i="29"/>
  <c r="B24" i="21" l="1"/>
  <c r="B36" i="21"/>
  <c r="B108" i="29"/>
  <c r="B107" i="29"/>
  <c r="B106" i="29"/>
  <c r="B105" i="29"/>
  <c r="B104" i="29"/>
  <c r="B103" i="29"/>
  <c r="B102" i="29"/>
  <c r="B101" i="29"/>
  <c r="B100" i="29"/>
  <c r="B99" i="29"/>
  <c r="B98" i="29"/>
  <c r="B97" i="29"/>
  <c r="B96" i="29"/>
  <c r="B95" i="29"/>
  <c r="B94" i="29"/>
  <c r="B24" i="29" l="1"/>
  <c r="B25" i="29"/>
  <c r="B58" i="29"/>
  <c r="B59" i="29"/>
  <c r="B60" i="29"/>
  <c r="B70" i="29"/>
  <c r="B23" i="29"/>
  <c r="B22" i="29"/>
  <c r="B21" i="29"/>
  <c r="B20" i="29"/>
  <c r="B19" i="29"/>
  <c r="B18" i="29"/>
  <c r="B17" i="29"/>
  <c r="F113" i="29"/>
  <c r="E113" i="29"/>
  <c r="D113" i="29"/>
  <c r="C113" i="29"/>
  <c r="B11" i="29"/>
  <c r="B10" i="29"/>
  <c r="B9" i="29"/>
  <c r="B8" i="29"/>
  <c r="M4" i="28"/>
  <c r="M5" i="28"/>
  <c r="M6" i="28"/>
  <c r="M7" i="28"/>
  <c r="M8" i="28"/>
  <c r="M9" i="28"/>
  <c r="M10" i="28"/>
  <c r="M11" i="28"/>
  <c r="M12" i="28"/>
  <c r="M13" i="28"/>
  <c r="M14" i="28"/>
  <c r="M15" i="28"/>
  <c r="M16" i="28"/>
  <c r="M17" i="28"/>
  <c r="M18" i="28"/>
  <c r="M19" i="28"/>
  <c r="M20" i="28"/>
  <c r="M21" i="28"/>
  <c r="M22" i="28"/>
  <c r="M23" i="28"/>
  <c r="M24" i="28"/>
  <c r="M3" i="28"/>
  <c r="B52" i="29" l="1"/>
  <c r="F20" i="29"/>
  <c r="C20" i="29"/>
  <c r="I20" i="29"/>
  <c r="L20" i="29"/>
  <c r="E20" i="29"/>
  <c r="H20" i="29"/>
  <c r="K20" i="29"/>
  <c r="D20" i="29"/>
  <c r="G20" i="29"/>
  <c r="J20" i="29"/>
  <c r="B57" i="29"/>
  <c r="J25" i="29"/>
  <c r="E25" i="29"/>
  <c r="K25" i="29"/>
  <c r="G25" i="29"/>
  <c r="F25" i="29"/>
  <c r="L25" i="29"/>
  <c r="H25" i="29"/>
  <c r="C25" i="29"/>
  <c r="I25" i="29"/>
  <c r="D25" i="29"/>
  <c r="B49" i="29"/>
  <c r="I17" i="29"/>
  <c r="D17" i="29"/>
  <c r="C17" i="29"/>
  <c r="J17" i="29"/>
  <c r="E17" i="29"/>
  <c r="K17" i="29"/>
  <c r="G17" i="29"/>
  <c r="F17" i="29"/>
  <c r="H17" i="29"/>
  <c r="L17" i="29"/>
  <c r="B53" i="29"/>
  <c r="I21" i="29"/>
  <c r="D21" i="29"/>
  <c r="J21" i="29"/>
  <c r="E21" i="29"/>
  <c r="K21" i="29"/>
  <c r="G21" i="29"/>
  <c r="F21" i="29"/>
  <c r="H21" i="29"/>
  <c r="L21" i="29"/>
  <c r="C21" i="29"/>
  <c r="B56" i="29"/>
  <c r="E24" i="29"/>
  <c r="H24" i="29"/>
  <c r="G24" i="29"/>
  <c r="F24" i="29"/>
  <c r="L24" i="29"/>
  <c r="D24" i="29"/>
  <c r="I24" i="29"/>
  <c r="K24" i="29"/>
  <c r="J24" i="29"/>
  <c r="C24" i="29"/>
  <c r="B50" i="29"/>
  <c r="K18" i="29"/>
  <c r="G18" i="29"/>
  <c r="L18" i="29"/>
  <c r="H18" i="29"/>
  <c r="I18" i="29"/>
  <c r="D18" i="29"/>
  <c r="F18" i="29"/>
  <c r="J18" i="29"/>
  <c r="E18" i="29"/>
  <c r="C18" i="29"/>
  <c r="B54" i="29"/>
  <c r="L22" i="29"/>
  <c r="H22" i="29"/>
  <c r="C22" i="29"/>
  <c r="I22" i="29"/>
  <c r="D22" i="29"/>
  <c r="J22" i="29"/>
  <c r="E22" i="29"/>
  <c r="K22" i="29"/>
  <c r="F22" i="29"/>
  <c r="G22" i="29"/>
  <c r="B51" i="29"/>
  <c r="J19" i="29"/>
  <c r="F19" i="29"/>
  <c r="E19" i="29"/>
  <c r="K19" i="29"/>
  <c r="G19" i="29"/>
  <c r="C19" i="29"/>
  <c r="L19" i="29"/>
  <c r="H19" i="29"/>
  <c r="D19" i="29"/>
  <c r="I19" i="29"/>
  <c r="B55" i="29"/>
  <c r="K23" i="29"/>
  <c r="G23" i="29"/>
  <c r="F23" i="29"/>
  <c r="L23" i="29"/>
  <c r="H23" i="29"/>
  <c r="C23" i="29"/>
  <c r="I23" i="29"/>
  <c r="D23" i="29"/>
  <c r="J23" i="29"/>
  <c r="E23" i="29"/>
  <c r="M29" i="28"/>
  <c r="M33" i="28"/>
  <c r="M18" i="29" l="1"/>
  <c r="N18" i="29" s="1"/>
  <c r="O18" i="29" s="1"/>
  <c r="M25" i="29"/>
  <c r="N25" i="29" s="1"/>
  <c r="O25" i="29" s="1"/>
  <c r="M22" i="29"/>
  <c r="M21" i="29"/>
  <c r="N21" i="29" s="1"/>
  <c r="O21" i="29" s="1"/>
  <c r="M19" i="29"/>
  <c r="N19" i="29" s="1"/>
  <c r="O19" i="29" s="1"/>
  <c r="M24" i="29"/>
  <c r="N24" i="29" s="1"/>
  <c r="O24" i="29" s="1"/>
  <c r="N22" i="29"/>
  <c r="O22" i="29" s="1"/>
  <c r="M23" i="29"/>
  <c r="N23" i="29" s="1"/>
  <c r="O23" i="29" s="1"/>
  <c r="M17" i="29"/>
  <c r="N17" i="29" s="1"/>
  <c r="O17" i="29" s="1"/>
  <c r="M20" i="29"/>
  <c r="N20" i="29" s="1"/>
  <c r="O20" i="29" s="1"/>
  <c r="C49" i="29" l="1"/>
  <c r="D49" i="29" s="1"/>
  <c r="E49" i="29"/>
  <c r="E57" i="29"/>
  <c r="F57" i="29" s="1"/>
  <c r="C55" i="29"/>
  <c r="D55" i="29" s="1"/>
  <c r="C50" i="29"/>
  <c r="D50" i="29" s="1"/>
  <c r="E59" i="29"/>
  <c r="F59" i="29" s="1"/>
  <c r="C59" i="29"/>
  <c r="D59" i="29" s="1"/>
  <c r="C57" i="29"/>
  <c r="D57" i="29" s="1"/>
  <c r="E55" i="29"/>
  <c r="F55" i="29" s="1"/>
  <c r="E50" i="29"/>
  <c r="F50" i="29" s="1"/>
  <c r="E58" i="29"/>
  <c r="F58" i="29" s="1"/>
  <c r="C58" i="29"/>
  <c r="D58" i="29" s="1"/>
  <c r="O42" i="29"/>
  <c r="E70" i="29"/>
  <c r="F70" i="29" s="1"/>
  <c r="C70" i="29"/>
  <c r="D70" i="29" s="1"/>
  <c r="C60" i="29"/>
  <c r="D60" i="29" s="1"/>
  <c r="E60" i="29"/>
  <c r="F60" i="29" s="1"/>
  <c r="E52" i="29"/>
  <c r="F52" i="29" s="1"/>
  <c r="E56" i="29"/>
  <c r="F56" i="29" s="1"/>
  <c r="C54" i="29"/>
  <c r="D54" i="29" s="1"/>
  <c r="E53" i="29"/>
  <c r="F53" i="29" s="1"/>
  <c r="C51" i="29"/>
  <c r="D51" i="29" s="1"/>
  <c r="C52" i="29"/>
  <c r="D52" i="29" s="1"/>
  <c r="C56" i="29"/>
  <c r="D56" i="29" s="1"/>
  <c r="E54" i="29"/>
  <c r="F54" i="29" s="1"/>
  <c r="C53" i="29"/>
  <c r="D53" i="29" s="1"/>
  <c r="E51" i="29"/>
  <c r="F51" i="29" s="1"/>
  <c r="M43" i="29"/>
  <c r="F49" i="29" l="1"/>
  <c r="F71" i="29" s="1"/>
  <c r="E9" i="29" s="1"/>
  <c r="E71" i="29"/>
  <c r="C71" i="29"/>
  <c r="D71" i="29"/>
  <c r="D9" i="29" s="1"/>
  <c r="O43" i="29"/>
  <c r="C9" i="29" s="1"/>
  <c r="N43" i="29"/>
  <c r="D11" i="29" l="1"/>
  <c r="D10" i="29"/>
  <c r="D8" i="29"/>
  <c r="E11" i="29"/>
  <c r="E8" i="29"/>
  <c r="E10" i="29"/>
  <c r="C8" i="29"/>
  <c r="C10" i="29"/>
  <c r="C11" i="29"/>
  <c r="F165" i="27" l="1"/>
  <c r="E165" i="27"/>
  <c r="D165" i="27"/>
  <c r="C165" i="27"/>
  <c r="F142" i="27"/>
  <c r="E142" i="27"/>
  <c r="D142" i="27"/>
  <c r="C142" i="27"/>
  <c r="M131" i="27"/>
  <c r="L131" i="27"/>
  <c r="K131" i="27"/>
  <c r="J131" i="27"/>
  <c r="H140" i="27"/>
  <c r="I140" i="27" s="1"/>
  <c r="H139" i="27"/>
  <c r="I139" i="27" s="1"/>
  <c r="H138" i="27"/>
  <c r="I138" i="27" s="1"/>
  <c r="H137" i="27"/>
  <c r="I137" i="27" s="1"/>
  <c r="H136" i="27"/>
  <c r="I136" i="27" s="1"/>
  <c r="H135" i="27"/>
  <c r="I135" i="27" s="1"/>
  <c r="H134" i="27"/>
  <c r="I134" i="27" s="1"/>
  <c r="H133" i="27"/>
  <c r="I133" i="27" s="1"/>
  <c r="H132" i="27"/>
  <c r="I132" i="27" s="1"/>
  <c r="M40" i="27"/>
  <c r="L40" i="27"/>
  <c r="K40" i="27"/>
  <c r="J40" i="27"/>
  <c r="B11" i="27"/>
  <c r="B10" i="27"/>
  <c r="B9" i="27"/>
  <c r="C18" i="27"/>
  <c r="M139" i="27" l="1"/>
  <c r="L139" i="27"/>
  <c r="K139" i="27"/>
  <c r="J139" i="27"/>
  <c r="M132" i="27"/>
  <c r="J132" i="27"/>
  <c r="L132" i="27"/>
  <c r="K132" i="27"/>
  <c r="M140" i="27"/>
  <c r="L140" i="27"/>
  <c r="K140" i="27"/>
  <c r="J140" i="27"/>
  <c r="M133" i="27"/>
  <c r="L133" i="27"/>
  <c r="K133" i="27"/>
  <c r="J133" i="27"/>
  <c r="M137" i="27"/>
  <c r="J137" i="27"/>
  <c r="L137" i="27"/>
  <c r="K137" i="27"/>
  <c r="M135" i="27"/>
  <c r="L135" i="27"/>
  <c r="K135" i="27"/>
  <c r="J135" i="27"/>
  <c r="M136" i="27"/>
  <c r="K136" i="27"/>
  <c r="J136" i="27"/>
  <c r="L136" i="27"/>
  <c r="M134" i="27"/>
  <c r="J134" i="27"/>
  <c r="K134" i="27"/>
  <c r="L134" i="27"/>
  <c r="M138" i="27"/>
  <c r="L138" i="27"/>
  <c r="J138" i="27"/>
  <c r="K138" i="27"/>
  <c r="B195" i="27"/>
  <c r="B194" i="27"/>
  <c r="B193" i="27"/>
  <c r="B192" i="27"/>
  <c r="B191" i="27"/>
  <c r="B190" i="27"/>
  <c r="B189" i="27"/>
  <c r="B188" i="27"/>
  <c r="B187" i="27"/>
  <c r="B186" i="27"/>
  <c r="B185" i="27"/>
  <c r="B184" i="27"/>
  <c r="B183" i="27"/>
  <c r="B182" i="27"/>
  <c r="B162" i="27"/>
  <c r="B161" i="27"/>
  <c r="B160" i="27"/>
  <c r="B159" i="27"/>
  <c r="B158" i="27"/>
  <c r="B157" i="27"/>
  <c r="B156" i="27"/>
  <c r="B155" i="27"/>
  <c r="B154" i="27"/>
  <c r="B153" i="27"/>
  <c r="B127" i="27"/>
  <c r="B126" i="27"/>
  <c r="B125" i="27"/>
  <c r="B124" i="27"/>
  <c r="B123" i="27"/>
  <c r="B122" i="27"/>
  <c r="B121" i="27"/>
  <c r="B120" i="27"/>
  <c r="H44" i="27"/>
  <c r="I44" i="27" s="1"/>
  <c r="H48" i="27"/>
  <c r="I48" i="27" s="1"/>
  <c r="G17" i="25"/>
  <c r="H17" i="25" s="1"/>
  <c r="I17" i="25" s="1"/>
  <c r="H45" i="27"/>
  <c r="I45" i="27" s="1"/>
  <c r="H46" i="27"/>
  <c r="I46" i="27" s="1"/>
  <c r="H47" i="27"/>
  <c r="I47" i="27" s="1"/>
  <c r="H49" i="27"/>
  <c r="I49" i="27" s="1"/>
  <c r="B103" i="27"/>
  <c r="B102" i="27"/>
  <c r="B101" i="27"/>
  <c r="B100" i="27"/>
  <c r="B99" i="27"/>
  <c r="B98" i="27"/>
  <c r="B97" i="27"/>
  <c r="B96" i="27"/>
  <c r="B95" i="27"/>
  <c r="B94" i="27"/>
  <c r="B93" i="27"/>
  <c r="B92" i="27"/>
  <c r="B91" i="27"/>
  <c r="B90" i="27"/>
  <c r="F73" i="27"/>
  <c r="E73" i="27"/>
  <c r="D73" i="27"/>
  <c r="C73" i="27"/>
  <c r="B70" i="27"/>
  <c r="B69" i="27"/>
  <c r="B68" i="27"/>
  <c r="B67" i="27"/>
  <c r="B66" i="27"/>
  <c r="B65" i="27"/>
  <c r="B64" i="27"/>
  <c r="B63" i="27"/>
  <c r="F52" i="27"/>
  <c r="E52" i="27"/>
  <c r="D52" i="27"/>
  <c r="C52" i="27"/>
  <c r="H43" i="27"/>
  <c r="I43" i="27" s="1"/>
  <c r="H42" i="27"/>
  <c r="I42" i="27" s="1"/>
  <c r="H41" i="27"/>
  <c r="I41" i="27" s="1"/>
  <c r="B36" i="27"/>
  <c r="B35" i="27"/>
  <c r="B34" i="27"/>
  <c r="B33" i="27"/>
  <c r="B32" i="27"/>
  <c r="B31" i="27"/>
  <c r="B30" i="27"/>
  <c r="B29" i="27"/>
  <c r="F18" i="27"/>
  <c r="E18" i="27"/>
  <c r="D18" i="27"/>
  <c r="B12" i="27"/>
  <c r="H31" i="25"/>
  <c r="H28" i="25"/>
  <c r="H29" i="25"/>
  <c r="H30" i="25"/>
  <c r="G18" i="25"/>
  <c r="H18" i="25" s="1"/>
  <c r="I18" i="25" s="1"/>
  <c r="G19" i="25"/>
  <c r="H19" i="25" s="1"/>
  <c r="I19" i="25" s="1"/>
  <c r="G20" i="25"/>
  <c r="H20" i="25" s="1"/>
  <c r="I20" i="25" s="1"/>
  <c r="G21" i="25"/>
  <c r="H21" i="25" s="1"/>
  <c r="I21" i="25" s="1"/>
  <c r="G22" i="25"/>
  <c r="H22" i="25" s="1"/>
  <c r="I22" i="25" s="1"/>
  <c r="G23" i="25"/>
  <c r="H23" i="25" s="1"/>
  <c r="I23" i="25" s="1"/>
  <c r="G24" i="25"/>
  <c r="H24" i="25" s="1"/>
  <c r="I24" i="25" s="1"/>
  <c r="G25" i="25"/>
  <c r="H25" i="25" s="1"/>
  <c r="I25" i="25" s="1"/>
  <c r="G26" i="25"/>
  <c r="H26" i="25" s="1"/>
  <c r="I26" i="25" s="1"/>
  <c r="G27" i="25"/>
  <c r="H27" i="25" s="1"/>
  <c r="I27" i="25" s="1"/>
  <c r="D93" i="27" l="1"/>
  <c r="E93" i="27"/>
  <c r="F93" i="27"/>
  <c r="C93" i="27"/>
  <c r="D101" i="27"/>
  <c r="E101" i="27"/>
  <c r="F101" i="27"/>
  <c r="C101" i="27"/>
  <c r="M48" i="27"/>
  <c r="L48" i="27"/>
  <c r="K48" i="27"/>
  <c r="J48" i="27"/>
  <c r="C126" i="27"/>
  <c r="F126" i="27"/>
  <c r="E126" i="27"/>
  <c r="D126" i="27"/>
  <c r="D190" i="27"/>
  <c r="F190" i="27"/>
  <c r="C190" i="27"/>
  <c r="E190" i="27"/>
  <c r="C194" i="27"/>
  <c r="F194" i="27"/>
  <c r="D194" i="27"/>
  <c r="E194" i="27"/>
  <c r="M43" i="27"/>
  <c r="K43" i="27"/>
  <c r="J43" i="27"/>
  <c r="L43" i="27"/>
  <c r="D94" i="27"/>
  <c r="E94" i="27"/>
  <c r="F94" i="27"/>
  <c r="C94" i="27"/>
  <c r="C98" i="27"/>
  <c r="D98" i="27"/>
  <c r="E98" i="27"/>
  <c r="F98" i="27"/>
  <c r="D102" i="27"/>
  <c r="E102" i="27"/>
  <c r="F102" i="27"/>
  <c r="C102" i="27"/>
  <c r="M46" i="27"/>
  <c r="K46" i="27"/>
  <c r="L46" i="27"/>
  <c r="J46" i="27"/>
  <c r="M44" i="27"/>
  <c r="L44" i="27"/>
  <c r="K44" i="27"/>
  <c r="J44" i="27"/>
  <c r="D123" i="27"/>
  <c r="C123" i="27"/>
  <c r="F123" i="27"/>
  <c r="E123" i="27"/>
  <c r="D127" i="27"/>
  <c r="C127" i="27"/>
  <c r="E127" i="27"/>
  <c r="F127" i="27"/>
  <c r="D187" i="27"/>
  <c r="E187" i="27"/>
  <c r="F187" i="27"/>
  <c r="C187" i="27"/>
  <c r="F191" i="27"/>
  <c r="D191" i="27"/>
  <c r="E191" i="27"/>
  <c r="C191" i="27"/>
  <c r="D195" i="27"/>
  <c r="E195" i="27"/>
  <c r="C195" i="27"/>
  <c r="F195" i="27"/>
  <c r="C91" i="27"/>
  <c r="D91" i="27"/>
  <c r="E91" i="27"/>
  <c r="F91" i="27"/>
  <c r="E95" i="27"/>
  <c r="F95" i="27"/>
  <c r="C95" i="27"/>
  <c r="D95" i="27"/>
  <c r="C99" i="27"/>
  <c r="D99" i="27"/>
  <c r="E99" i="27"/>
  <c r="F99" i="27"/>
  <c r="E103" i="27"/>
  <c r="D103" i="27"/>
  <c r="C103" i="27"/>
  <c r="F103" i="27"/>
  <c r="M45" i="27"/>
  <c r="K45" i="27"/>
  <c r="J45" i="27"/>
  <c r="L45" i="27"/>
  <c r="E124" i="27"/>
  <c r="D124" i="27"/>
  <c r="C124" i="27"/>
  <c r="F124" i="27"/>
  <c r="F188" i="27"/>
  <c r="D188" i="27"/>
  <c r="E188" i="27"/>
  <c r="C188" i="27"/>
  <c r="D192" i="27"/>
  <c r="E192" i="27"/>
  <c r="F192" i="27"/>
  <c r="C192" i="27"/>
  <c r="M42" i="27"/>
  <c r="L42" i="27"/>
  <c r="K42" i="27"/>
  <c r="J42" i="27"/>
  <c r="F97" i="27"/>
  <c r="C97" i="27"/>
  <c r="E97" i="27"/>
  <c r="D97" i="27"/>
  <c r="M47" i="27"/>
  <c r="L47" i="27"/>
  <c r="K47" i="27"/>
  <c r="J47" i="27"/>
  <c r="C92" i="27"/>
  <c r="D92" i="27"/>
  <c r="E92" i="27"/>
  <c r="F92" i="27"/>
  <c r="F96" i="27"/>
  <c r="C96" i="27"/>
  <c r="D96" i="27"/>
  <c r="E96" i="27"/>
  <c r="C100" i="27"/>
  <c r="D100" i="27"/>
  <c r="E100" i="27"/>
  <c r="F100" i="27"/>
  <c r="M49" i="27"/>
  <c r="K49" i="27"/>
  <c r="J49" i="27"/>
  <c r="L49" i="27"/>
  <c r="F125" i="27"/>
  <c r="E125" i="27"/>
  <c r="C125" i="27"/>
  <c r="D125" i="27"/>
  <c r="E189" i="27"/>
  <c r="C189" i="27"/>
  <c r="F189" i="27"/>
  <c r="D189" i="27"/>
  <c r="F193" i="27"/>
  <c r="E193" i="27"/>
  <c r="D193" i="27"/>
  <c r="C193" i="27"/>
  <c r="L41" i="27"/>
  <c r="M41" i="27"/>
  <c r="J41" i="27"/>
  <c r="K41" i="27"/>
  <c r="F90" i="27"/>
  <c r="D90" i="27"/>
  <c r="E90" i="27"/>
  <c r="C90" i="27"/>
  <c r="E120" i="27"/>
  <c r="C120" i="27"/>
  <c r="F120" i="27"/>
  <c r="D120" i="27"/>
  <c r="D121" i="27"/>
  <c r="C121" i="27"/>
  <c r="E121" i="27"/>
  <c r="F121" i="27"/>
  <c r="C122" i="27"/>
  <c r="F122" i="27"/>
  <c r="E122" i="27"/>
  <c r="D122" i="27"/>
  <c r="F10" i="27"/>
  <c r="F12" i="27"/>
  <c r="E64" i="27"/>
  <c r="C64" i="27"/>
  <c r="D64" i="27"/>
  <c r="F64" i="27"/>
  <c r="E68" i="27"/>
  <c r="D68" i="27"/>
  <c r="C68" i="27"/>
  <c r="F68" i="27"/>
  <c r="F154" i="27"/>
  <c r="D154" i="27"/>
  <c r="E154" i="27"/>
  <c r="C154" i="27"/>
  <c r="F158" i="27"/>
  <c r="D158" i="27"/>
  <c r="C158" i="27"/>
  <c r="E158" i="27"/>
  <c r="F162" i="27"/>
  <c r="D162" i="27"/>
  <c r="C162" i="27"/>
  <c r="E162" i="27"/>
  <c r="C65" i="27"/>
  <c r="E65" i="27"/>
  <c r="D65" i="27"/>
  <c r="F65" i="27"/>
  <c r="C69" i="27"/>
  <c r="E69" i="27"/>
  <c r="D69" i="27"/>
  <c r="F69" i="27"/>
  <c r="F155" i="27"/>
  <c r="D155" i="27"/>
  <c r="C155" i="27"/>
  <c r="E155" i="27"/>
  <c r="F159" i="27"/>
  <c r="D159" i="27"/>
  <c r="C159" i="27"/>
  <c r="E159" i="27"/>
  <c r="D66" i="27"/>
  <c r="C66" i="27"/>
  <c r="E66" i="27"/>
  <c r="F66" i="27"/>
  <c r="D70" i="27"/>
  <c r="F70" i="27"/>
  <c r="C70" i="27"/>
  <c r="E70" i="27"/>
  <c r="E156" i="27"/>
  <c r="F156" i="27"/>
  <c r="D156" i="27"/>
  <c r="C156" i="27"/>
  <c r="E160" i="27"/>
  <c r="F160" i="27"/>
  <c r="D160" i="27"/>
  <c r="C160" i="27"/>
  <c r="E63" i="27"/>
  <c r="C63" i="27"/>
  <c r="D63" i="27"/>
  <c r="F63" i="27"/>
  <c r="D67" i="27"/>
  <c r="C67" i="27"/>
  <c r="E67" i="27"/>
  <c r="F67" i="27"/>
  <c r="F153" i="27"/>
  <c r="D153" i="27"/>
  <c r="E153" i="27"/>
  <c r="C153" i="27"/>
  <c r="C157" i="27"/>
  <c r="E157" i="27"/>
  <c r="F157" i="27"/>
  <c r="D157" i="27"/>
  <c r="C161" i="27"/>
  <c r="E161" i="27"/>
  <c r="F161" i="27"/>
  <c r="D161" i="27"/>
  <c r="F11" i="27"/>
  <c r="F9" i="27"/>
  <c r="I32" i="25"/>
  <c r="F73" i="25"/>
  <c r="E73" i="25"/>
  <c r="D73" i="25"/>
  <c r="C73" i="25"/>
  <c r="B68" i="25"/>
  <c r="B67" i="25"/>
  <c r="B66" i="25"/>
  <c r="B65" i="25"/>
  <c r="B64" i="25"/>
  <c r="B63" i="25"/>
  <c r="B62" i="25"/>
  <c r="B61" i="25"/>
  <c r="B60" i="25"/>
  <c r="B59" i="25"/>
  <c r="B58" i="25"/>
  <c r="B57" i="25"/>
  <c r="B56" i="25"/>
  <c r="B55" i="25"/>
  <c r="F38" i="25"/>
  <c r="E38" i="25"/>
  <c r="D38" i="25"/>
  <c r="C38" i="25"/>
  <c r="B11" i="25"/>
  <c r="B10" i="25"/>
  <c r="B9" i="25"/>
  <c r="B8" i="25"/>
  <c r="D11" i="25" l="1"/>
  <c r="D9" i="25"/>
  <c r="D10" i="25"/>
  <c r="D8" i="25"/>
  <c r="H12" i="27"/>
  <c r="G10" i="27"/>
  <c r="H10" i="27"/>
  <c r="G12" i="27"/>
  <c r="I12" i="27"/>
  <c r="I11" i="27"/>
  <c r="I10" i="27"/>
  <c r="I9" i="27"/>
  <c r="D12" i="27"/>
  <c r="G9" i="27"/>
  <c r="G11" i="27"/>
  <c r="H11" i="27"/>
  <c r="H9" i="27"/>
  <c r="E12" i="27"/>
  <c r="B61" i="21" s="1"/>
  <c r="E9" i="27"/>
  <c r="B25" i="21" s="1"/>
  <c r="E10" i="27"/>
  <c r="E11" i="27"/>
  <c r="B37" i="21" l="1"/>
  <c r="B49" i="21"/>
  <c r="F170" i="24"/>
  <c r="E170" i="24"/>
  <c r="D170" i="24"/>
  <c r="C170" i="24"/>
  <c r="B165" i="24"/>
  <c r="B164" i="24"/>
  <c r="B163" i="24"/>
  <c r="B162" i="24"/>
  <c r="B161" i="24"/>
  <c r="B160" i="24"/>
  <c r="B159" i="24"/>
  <c r="B158" i="24"/>
  <c r="B157" i="24"/>
  <c r="B156" i="24"/>
  <c r="B155" i="24"/>
  <c r="B154" i="24"/>
  <c r="B153" i="24"/>
  <c r="B152" i="24"/>
  <c r="B151" i="24"/>
  <c r="B150" i="24"/>
  <c r="B149" i="24"/>
  <c r="B148" i="24"/>
  <c r="B147" i="24"/>
  <c r="B146" i="24"/>
  <c r="B145" i="24"/>
  <c r="B144" i="24"/>
  <c r="F119" i="24"/>
  <c r="E119" i="24"/>
  <c r="D119" i="24"/>
  <c r="C119" i="24"/>
  <c r="B86" i="24"/>
  <c r="B85" i="24"/>
  <c r="B84" i="24"/>
  <c r="B83" i="24"/>
  <c r="B82" i="24"/>
  <c r="B81" i="24"/>
  <c r="B80" i="24"/>
  <c r="B79" i="24"/>
  <c r="B78" i="24"/>
  <c r="B77" i="24"/>
  <c r="B76" i="24"/>
  <c r="B75" i="24"/>
  <c r="B74" i="24"/>
  <c r="B73" i="24"/>
  <c r="B72" i="24"/>
  <c r="F54" i="24"/>
  <c r="E54" i="24"/>
  <c r="D54" i="24"/>
  <c r="C54" i="24"/>
  <c r="B48" i="24"/>
  <c r="B47" i="24"/>
  <c r="B46" i="24"/>
  <c r="B45" i="24"/>
  <c r="B44" i="24"/>
  <c r="B43" i="24"/>
  <c r="B42" i="24"/>
  <c r="B41" i="24"/>
  <c r="B40" i="24"/>
  <c r="B39" i="24"/>
  <c r="B38" i="24"/>
  <c r="B37" i="24"/>
  <c r="B36" i="24"/>
  <c r="B35" i="24"/>
  <c r="B34" i="24"/>
  <c r="F16" i="24"/>
  <c r="E16" i="24"/>
  <c r="D16" i="24"/>
  <c r="C16" i="24"/>
  <c r="B11" i="24"/>
  <c r="B10" i="24"/>
  <c r="B9" i="24"/>
  <c r="B8" i="24"/>
  <c r="E162" i="24" l="1"/>
  <c r="D162" i="24"/>
  <c r="F162" i="24"/>
  <c r="C162" i="24"/>
  <c r="F72" i="24"/>
  <c r="C72" i="24"/>
  <c r="D72" i="24"/>
  <c r="E72" i="24"/>
  <c r="F76" i="24"/>
  <c r="E76" i="24"/>
  <c r="C76" i="24"/>
  <c r="D76" i="24"/>
  <c r="F80" i="24"/>
  <c r="E80" i="24"/>
  <c r="C80" i="24"/>
  <c r="D80" i="24"/>
  <c r="F84" i="24"/>
  <c r="E84" i="24"/>
  <c r="C84" i="24"/>
  <c r="D84" i="24"/>
  <c r="F159" i="24"/>
  <c r="C159" i="24"/>
  <c r="D159" i="24"/>
  <c r="E159" i="24"/>
  <c r="F163" i="24"/>
  <c r="D163" i="24"/>
  <c r="C163" i="24"/>
  <c r="E163" i="24"/>
  <c r="F75" i="24"/>
  <c r="D75" i="24"/>
  <c r="C75" i="24"/>
  <c r="E75" i="24"/>
  <c r="F79" i="24"/>
  <c r="D79" i="24"/>
  <c r="C79" i="24"/>
  <c r="E79" i="24"/>
  <c r="F83" i="24"/>
  <c r="E83" i="24"/>
  <c r="D83" i="24"/>
  <c r="C83" i="24"/>
  <c r="F73" i="24"/>
  <c r="C73" i="24"/>
  <c r="D73" i="24"/>
  <c r="E73" i="24"/>
  <c r="F77" i="24"/>
  <c r="E77" i="24"/>
  <c r="C77" i="24"/>
  <c r="D77" i="24"/>
  <c r="F81" i="24"/>
  <c r="D81" i="24"/>
  <c r="E81" i="24"/>
  <c r="C81" i="24"/>
  <c r="F85" i="24"/>
  <c r="E85" i="24"/>
  <c r="D85" i="24"/>
  <c r="C85" i="24"/>
  <c r="D160" i="24"/>
  <c r="C160" i="24"/>
  <c r="F160" i="24"/>
  <c r="E160" i="24"/>
  <c r="F164" i="24"/>
  <c r="E164" i="24"/>
  <c r="D164" i="24"/>
  <c r="C164" i="24"/>
  <c r="F74" i="24"/>
  <c r="C74" i="24"/>
  <c r="E74" i="24"/>
  <c r="D74" i="24"/>
  <c r="F78" i="24"/>
  <c r="D78" i="24"/>
  <c r="C78" i="24"/>
  <c r="E78" i="24"/>
  <c r="F82" i="24"/>
  <c r="C82" i="24"/>
  <c r="D82" i="24"/>
  <c r="E82" i="24"/>
  <c r="F86" i="24"/>
  <c r="E86" i="24"/>
  <c r="D86" i="24"/>
  <c r="C86" i="24"/>
  <c r="C161" i="24"/>
  <c r="E161" i="24"/>
  <c r="F161" i="24"/>
  <c r="D161" i="24"/>
  <c r="D165" i="24"/>
  <c r="C165" i="24"/>
  <c r="E165" i="24"/>
  <c r="F165" i="24"/>
  <c r="D10" i="24" l="1"/>
  <c r="D8" i="24"/>
  <c r="D11" i="24"/>
  <c r="D9" i="24"/>
  <c r="F166" i="23"/>
  <c r="E166" i="23"/>
  <c r="D166" i="23"/>
  <c r="C166" i="23"/>
  <c r="B161" i="23"/>
  <c r="B160" i="23"/>
  <c r="B159" i="23"/>
  <c r="B158" i="23"/>
  <c r="B157" i="23"/>
  <c r="B156" i="23"/>
  <c r="B155" i="23"/>
  <c r="B154" i="23"/>
  <c r="B153" i="23"/>
  <c r="B152" i="23"/>
  <c r="B151" i="23"/>
  <c r="B150" i="23"/>
  <c r="B149" i="23"/>
  <c r="B148" i="23"/>
  <c r="B147" i="23"/>
  <c r="B146" i="23"/>
  <c r="B145" i="23"/>
  <c r="B144" i="23"/>
  <c r="B143" i="23"/>
  <c r="B142" i="23"/>
  <c r="F119" i="23"/>
  <c r="E119" i="23"/>
  <c r="D119" i="23"/>
  <c r="C119" i="23"/>
  <c r="B78" i="23"/>
  <c r="B77" i="23"/>
  <c r="B76" i="23"/>
  <c r="B75" i="23"/>
  <c r="B74" i="23"/>
  <c r="B73" i="23"/>
  <c r="F55" i="23"/>
  <c r="E55" i="23"/>
  <c r="D55" i="23"/>
  <c r="C55" i="23"/>
  <c r="B48" i="23"/>
  <c r="B47" i="23"/>
  <c r="B46" i="23"/>
  <c r="B45" i="23"/>
  <c r="B44" i="23"/>
  <c r="B43" i="23"/>
  <c r="B42" i="23"/>
  <c r="B41" i="23"/>
  <c r="B40" i="23"/>
  <c r="B39" i="23"/>
  <c r="B38" i="23"/>
  <c r="B37" i="23"/>
  <c r="B36" i="23"/>
  <c r="B35" i="23"/>
  <c r="B34" i="23"/>
  <c r="F16" i="23"/>
  <c r="E16" i="23"/>
  <c r="D16" i="23"/>
  <c r="C16" i="23"/>
  <c r="B11" i="23"/>
  <c r="B10" i="23"/>
  <c r="B9" i="23"/>
  <c r="B8" i="23"/>
  <c r="F75" i="23" l="1"/>
  <c r="E75" i="23"/>
  <c r="D75" i="23"/>
  <c r="F156" i="23"/>
  <c r="E156" i="23"/>
  <c r="D156" i="23"/>
  <c r="C156" i="23"/>
  <c r="F160" i="23"/>
  <c r="E160" i="23"/>
  <c r="D160" i="23"/>
  <c r="C160" i="23"/>
  <c r="F76" i="23"/>
  <c r="E76" i="23"/>
  <c r="D76" i="23"/>
  <c r="F145" i="23"/>
  <c r="E145" i="23"/>
  <c r="D145" i="23"/>
  <c r="C145" i="23"/>
  <c r="F157" i="23"/>
  <c r="E157" i="23"/>
  <c r="D157" i="23"/>
  <c r="C157" i="23"/>
  <c r="F161" i="23"/>
  <c r="E161" i="23"/>
  <c r="D161" i="23"/>
  <c r="C161" i="23"/>
  <c r="F73" i="23"/>
  <c r="E73" i="23"/>
  <c r="F77" i="23"/>
  <c r="D77" i="23"/>
  <c r="E77" i="23"/>
  <c r="F158" i="23"/>
  <c r="E158" i="23"/>
  <c r="D158" i="23"/>
  <c r="C158" i="23"/>
  <c r="F74" i="23"/>
  <c r="E74" i="23"/>
  <c r="D74" i="23"/>
  <c r="F78" i="23"/>
  <c r="D78" i="23"/>
  <c r="E78" i="23"/>
  <c r="F155" i="23"/>
  <c r="E155" i="23"/>
  <c r="D155" i="23"/>
  <c r="C155" i="23"/>
  <c r="F159" i="23"/>
  <c r="D159" i="23"/>
  <c r="C159" i="23"/>
  <c r="E159" i="23"/>
  <c r="F79" i="23"/>
  <c r="E79" i="23"/>
  <c r="D79" i="23"/>
  <c r="C77" i="23"/>
  <c r="C74" i="23"/>
  <c r="C78" i="23"/>
  <c r="C82" i="23"/>
  <c r="C86" i="23"/>
  <c r="C81" i="23"/>
  <c r="C75" i="23"/>
  <c r="C79" i="23"/>
  <c r="C83" i="23"/>
  <c r="D73" i="23"/>
  <c r="C73" i="23"/>
  <c r="C85" i="23"/>
  <c r="C76" i="23"/>
  <c r="C80" i="23"/>
  <c r="C84" i="23"/>
  <c r="F153" i="22"/>
  <c r="E153" i="22"/>
  <c r="D153" i="22"/>
  <c r="C153" i="22"/>
  <c r="B148" i="22"/>
  <c r="B147" i="22"/>
  <c r="B146" i="22"/>
  <c r="B145" i="22"/>
  <c r="B144" i="22"/>
  <c r="B143" i="22"/>
  <c r="B142" i="22"/>
  <c r="B141" i="22"/>
  <c r="B140" i="22"/>
  <c r="B139" i="22"/>
  <c r="B138" i="22"/>
  <c r="B137" i="22"/>
  <c r="B136" i="22"/>
  <c r="B135" i="22"/>
  <c r="B134" i="22"/>
  <c r="B133" i="22"/>
  <c r="B132" i="22"/>
  <c r="B131" i="22"/>
  <c r="B130" i="22"/>
  <c r="B129" i="22"/>
  <c r="B128" i="22"/>
  <c r="B127" i="22"/>
  <c r="B126" i="22"/>
  <c r="B125" i="22"/>
  <c r="B124" i="22"/>
  <c r="B123" i="22"/>
  <c r="B122" i="22"/>
  <c r="F92" i="22"/>
  <c r="E92" i="22"/>
  <c r="D92" i="22"/>
  <c r="C92" i="22"/>
  <c r="B86" i="22"/>
  <c r="B85" i="22"/>
  <c r="B84" i="22"/>
  <c r="B83" i="22"/>
  <c r="B82" i="22"/>
  <c r="B81" i="22"/>
  <c r="B80" i="22"/>
  <c r="B79" i="22"/>
  <c r="B78" i="22"/>
  <c r="B77" i="22"/>
  <c r="B76" i="22"/>
  <c r="B75" i="22"/>
  <c r="B74" i="22"/>
  <c r="B73" i="22"/>
  <c r="B72" i="22"/>
  <c r="F54" i="22"/>
  <c r="E54" i="22"/>
  <c r="D54" i="22"/>
  <c r="C54" i="22"/>
  <c r="B48" i="22"/>
  <c r="B47" i="22"/>
  <c r="B46" i="22"/>
  <c r="B45" i="22"/>
  <c r="B44" i="22"/>
  <c r="B43" i="22"/>
  <c r="B42" i="22"/>
  <c r="B41" i="22"/>
  <c r="B40" i="22"/>
  <c r="B39" i="22"/>
  <c r="B38" i="22"/>
  <c r="B37" i="22"/>
  <c r="B36" i="22"/>
  <c r="B35" i="22"/>
  <c r="B34" i="22"/>
  <c r="F16" i="22"/>
  <c r="E16" i="22"/>
  <c r="D16" i="22"/>
  <c r="C16" i="22"/>
  <c r="B11" i="22"/>
  <c r="B10" i="22"/>
  <c r="B9" i="22"/>
  <c r="B8" i="22"/>
  <c r="D139" i="22" l="1"/>
  <c r="C139" i="22"/>
  <c r="F139" i="22"/>
  <c r="E139" i="22"/>
  <c r="D147" i="22"/>
  <c r="F147" i="22"/>
  <c r="E147" i="22"/>
  <c r="C147" i="22"/>
  <c r="C136" i="22"/>
  <c r="E136" i="22"/>
  <c r="F136" i="22"/>
  <c r="D136" i="22"/>
  <c r="C144" i="22"/>
  <c r="F144" i="22"/>
  <c r="D144" i="22"/>
  <c r="E144" i="22"/>
  <c r="F133" i="22"/>
  <c r="C133" i="22"/>
  <c r="D133" i="22"/>
  <c r="E133" i="22"/>
  <c r="F137" i="22"/>
  <c r="E137" i="22"/>
  <c r="D137" i="22"/>
  <c r="C137" i="22"/>
  <c r="C141" i="22"/>
  <c r="F141" i="22"/>
  <c r="D141" i="22"/>
  <c r="E141" i="22"/>
  <c r="F145" i="22"/>
  <c r="D145" i="22"/>
  <c r="C145" i="22"/>
  <c r="E145" i="22"/>
  <c r="C135" i="22"/>
  <c r="D135" i="22"/>
  <c r="F135" i="22"/>
  <c r="E135" i="22"/>
  <c r="E143" i="22"/>
  <c r="D143" i="22"/>
  <c r="F143" i="22"/>
  <c r="C143" i="22"/>
  <c r="D140" i="22"/>
  <c r="F140" i="22"/>
  <c r="E140" i="22"/>
  <c r="C140" i="22"/>
  <c r="F148" i="22"/>
  <c r="E148" i="22"/>
  <c r="C148" i="22"/>
  <c r="D148" i="22"/>
  <c r="E134" i="22"/>
  <c r="C134" i="22"/>
  <c r="D134" i="22"/>
  <c r="F134" i="22"/>
  <c r="D138" i="22"/>
  <c r="F138" i="22"/>
  <c r="C138" i="22"/>
  <c r="E138" i="22"/>
  <c r="E142" i="22"/>
  <c r="F142" i="22"/>
  <c r="D142" i="22"/>
  <c r="C142" i="22"/>
  <c r="C146" i="22"/>
  <c r="E146" i="22"/>
  <c r="D146" i="22"/>
  <c r="F146" i="22"/>
  <c r="F72" i="22"/>
  <c r="D72" i="22"/>
  <c r="C72" i="22"/>
  <c r="E72" i="22"/>
  <c r="F80" i="22"/>
  <c r="D80" i="22"/>
  <c r="C80" i="22"/>
  <c r="E80" i="22"/>
  <c r="F73" i="22"/>
  <c r="D73" i="22"/>
  <c r="E73" i="22"/>
  <c r="C73" i="22"/>
  <c r="F77" i="22"/>
  <c r="E77" i="22"/>
  <c r="D77" i="22"/>
  <c r="C77" i="22"/>
  <c r="F81" i="22"/>
  <c r="C81" i="22"/>
  <c r="E81" i="22"/>
  <c r="D81" i="22"/>
  <c r="F85" i="22"/>
  <c r="C85" i="22"/>
  <c r="D85" i="22"/>
  <c r="E85" i="22"/>
  <c r="F84" i="22"/>
  <c r="C84" i="22"/>
  <c r="E84" i="22"/>
  <c r="D84" i="22"/>
  <c r="F82" i="22"/>
  <c r="D82" i="22"/>
  <c r="C82" i="22"/>
  <c r="E82" i="22"/>
  <c r="F76" i="22"/>
  <c r="D76" i="22"/>
  <c r="C76" i="22"/>
  <c r="E76" i="22"/>
  <c r="F74" i="22"/>
  <c r="C74" i="22"/>
  <c r="E74" i="22"/>
  <c r="D74" i="22"/>
  <c r="F78" i="22"/>
  <c r="C78" i="22"/>
  <c r="D78" i="22"/>
  <c r="E78" i="22"/>
  <c r="F86" i="22"/>
  <c r="C86" i="22"/>
  <c r="E86" i="22"/>
  <c r="D86" i="22"/>
  <c r="F75" i="22"/>
  <c r="C75" i="22"/>
  <c r="E75" i="22"/>
  <c r="D75" i="22"/>
  <c r="F79" i="22"/>
  <c r="E79" i="22"/>
  <c r="C79" i="22"/>
  <c r="D79" i="22"/>
  <c r="F83" i="22"/>
  <c r="D83" i="22"/>
  <c r="E83" i="22"/>
  <c r="C83" i="22"/>
  <c r="D10" i="23"/>
  <c r="D11" i="23"/>
  <c r="D9" i="23"/>
  <c r="D8" i="23"/>
  <c r="F155" i="2"/>
  <c r="E155" i="2"/>
  <c r="D155" i="2"/>
  <c r="C155" i="2"/>
  <c r="C92"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25" i="2"/>
  <c r="B124" i="2"/>
  <c r="B123" i="2"/>
  <c r="E147" i="1"/>
  <c r="E164" i="1"/>
  <c r="E163" i="1"/>
  <c r="E162" i="1"/>
  <c r="E160" i="1"/>
  <c r="E159" i="1"/>
  <c r="E158" i="1"/>
  <c r="E157" i="1"/>
  <c r="E156" i="1"/>
  <c r="E155" i="1"/>
  <c r="E154" i="1"/>
  <c r="E153" i="1"/>
  <c r="E152" i="1"/>
  <c r="E151" i="1"/>
  <c r="E150" i="1"/>
  <c r="E149" i="1"/>
  <c r="E148"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89" i="1"/>
  <c r="E88" i="1"/>
  <c r="E87" i="1"/>
  <c r="E148" i="2" l="1"/>
  <c r="D148" i="2"/>
  <c r="F148" i="2"/>
  <c r="C148" i="2"/>
  <c r="C147" i="2"/>
  <c r="D147" i="2"/>
  <c r="E147" i="2"/>
  <c r="F147" i="2"/>
  <c r="C143" i="2"/>
  <c r="E143" i="2"/>
  <c r="D143" i="2"/>
  <c r="F143" i="2"/>
  <c r="C139" i="2"/>
  <c r="E139" i="2"/>
  <c r="D139" i="2"/>
  <c r="F139" i="2"/>
  <c r="F140" i="2"/>
  <c r="C140" i="2"/>
  <c r="D140" i="2"/>
  <c r="E140" i="2"/>
  <c r="D150" i="2"/>
  <c r="C150" i="2"/>
  <c r="E150" i="2"/>
  <c r="F150" i="2"/>
  <c r="E146" i="2"/>
  <c r="D146" i="2"/>
  <c r="C146" i="2"/>
  <c r="F146" i="2"/>
  <c r="E142" i="2"/>
  <c r="C142" i="2"/>
  <c r="D142" i="2"/>
  <c r="F142" i="2"/>
  <c r="D138" i="2"/>
  <c r="E138" i="2"/>
  <c r="C138" i="2"/>
  <c r="F138" i="2"/>
  <c r="F144" i="2"/>
  <c r="D144" i="2"/>
  <c r="C144" i="2"/>
  <c r="E144" i="2"/>
  <c r="F149" i="2"/>
  <c r="D149" i="2"/>
  <c r="C149" i="2"/>
  <c r="E149" i="2"/>
  <c r="E145" i="2"/>
  <c r="C145" i="2"/>
  <c r="F145" i="2"/>
  <c r="D145" i="2"/>
  <c r="C141" i="2"/>
  <c r="F141" i="2"/>
  <c r="E141" i="2"/>
  <c r="D141" i="2"/>
  <c r="D137" i="2"/>
  <c r="E137" i="2"/>
  <c r="F137" i="2"/>
  <c r="C137" i="2"/>
  <c r="F125" i="24"/>
  <c r="F125" i="23"/>
  <c r="C125" i="23"/>
  <c r="C98" i="22"/>
  <c r="D125" i="24"/>
  <c r="C125" i="24"/>
  <c r="D125" i="23"/>
  <c r="E98" i="22"/>
  <c r="D98" i="22"/>
  <c r="F98" i="22"/>
  <c r="E125" i="23"/>
  <c r="E125" i="24"/>
  <c r="C167" i="27"/>
  <c r="D167" i="27"/>
  <c r="E167" i="27"/>
  <c r="F167" i="27"/>
  <c r="F93" i="2"/>
  <c r="E93" i="2"/>
  <c r="D93" i="2"/>
  <c r="C93" i="2"/>
  <c r="F103" i="2"/>
  <c r="E103" i="2"/>
  <c r="D103" i="2"/>
  <c r="C103" i="2"/>
  <c r="E134" i="24"/>
  <c r="F134" i="24"/>
  <c r="D134" i="24"/>
  <c r="C134" i="24"/>
  <c r="F129" i="24"/>
  <c r="C102" i="22"/>
  <c r="D129" i="24"/>
  <c r="C129" i="24"/>
  <c r="E102" i="22"/>
  <c r="F102" i="22"/>
  <c r="E129" i="24"/>
  <c r="D102" i="22"/>
  <c r="F133" i="24"/>
  <c r="E96" i="22"/>
  <c r="D133" i="24"/>
  <c r="C133" i="24"/>
  <c r="C96" i="22"/>
  <c r="F96" i="22"/>
  <c r="E133" i="24"/>
  <c r="D96" i="22"/>
  <c r="E126" i="23"/>
  <c r="F99" i="22"/>
  <c r="E126" i="24"/>
  <c r="D99" i="22"/>
  <c r="F126" i="24"/>
  <c r="D126" i="23"/>
  <c r="E99" i="22"/>
  <c r="C126" i="24"/>
  <c r="C126" i="23"/>
  <c r="D126" i="24"/>
  <c r="F126" i="23"/>
  <c r="C99" i="22"/>
  <c r="F103" i="22"/>
  <c r="F132" i="22" s="1"/>
  <c r="E130" i="24"/>
  <c r="E154" i="24" s="1"/>
  <c r="D103" i="22"/>
  <c r="D132" i="22" s="1"/>
  <c r="C130" i="24"/>
  <c r="C154" i="24" s="1"/>
  <c r="D130" i="24"/>
  <c r="D154" i="24" s="1"/>
  <c r="C103" i="22"/>
  <c r="C132" i="22" s="1"/>
  <c r="F130" i="24"/>
  <c r="F154" i="24" s="1"/>
  <c r="E103" i="22"/>
  <c r="E132" i="22" s="1"/>
  <c r="E124" i="24"/>
  <c r="D97" i="22"/>
  <c r="E124" i="23"/>
  <c r="F97" i="22"/>
  <c r="E97" i="22"/>
  <c r="C124" i="24"/>
  <c r="C124" i="23"/>
  <c r="F100" i="2"/>
  <c r="E100" i="2"/>
  <c r="D100" i="2"/>
  <c r="C100" i="2"/>
  <c r="D124" i="24"/>
  <c r="F124" i="23"/>
  <c r="D124" i="23"/>
  <c r="C97" i="22"/>
  <c r="F124" i="24"/>
  <c r="E132" i="24"/>
  <c r="F129" i="23"/>
  <c r="C129" i="23"/>
  <c r="D101" i="22"/>
  <c r="D129" i="23"/>
  <c r="F101" i="22"/>
  <c r="E129" i="23"/>
  <c r="C101" i="22"/>
  <c r="E101" i="22"/>
  <c r="F132" i="24"/>
  <c r="C132" i="24"/>
  <c r="D132" i="24"/>
  <c r="E128" i="24"/>
  <c r="E128" i="23"/>
  <c r="D128" i="24"/>
  <c r="F128" i="23"/>
  <c r="D128" i="23"/>
  <c r="C128" i="24"/>
  <c r="F128" i="24"/>
  <c r="C128" i="23"/>
  <c r="E104" i="2"/>
  <c r="D104" i="2"/>
  <c r="C104" i="2"/>
  <c r="F104" i="2"/>
  <c r="F94" i="2"/>
  <c r="C94" i="2"/>
  <c r="E94" i="2"/>
  <c r="D94" i="2"/>
  <c r="F101" i="2"/>
  <c r="D101" i="2"/>
  <c r="C101" i="2"/>
  <c r="E101" i="2"/>
  <c r="D131" i="24"/>
  <c r="C131" i="24"/>
  <c r="F131" i="24"/>
  <c r="F105" i="2"/>
  <c r="E105" i="2"/>
  <c r="D105" i="2"/>
  <c r="E131" i="24"/>
  <c r="C105" i="2"/>
  <c r="F102" i="2"/>
  <c r="C102" i="2"/>
  <c r="D102" i="2"/>
  <c r="E102" i="2"/>
  <c r="C170" i="27"/>
  <c r="D170" i="27"/>
  <c r="E170" i="27"/>
  <c r="F170" i="27"/>
  <c r="D127" i="24"/>
  <c r="C127" i="24"/>
  <c r="D127" i="23"/>
  <c r="E100" i="22"/>
  <c r="F127" i="24"/>
  <c r="F127" i="23"/>
  <c r="C127" i="23"/>
  <c r="C100" i="22"/>
  <c r="E127" i="24"/>
  <c r="F106" i="2"/>
  <c r="E127" i="23"/>
  <c r="D100" i="22"/>
  <c r="D106" i="2"/>
  <c r="F100" i="22"/>
  <c r="C106" i="2"/>
  <c r="E106" i="2"/>
  <c r="C168" i="27"/>
  <c r="D168" i="27"/>
  <c r="E168" i="27"/>
  <c r="F168" i="27"/>
  <c r="F154" i="23"/>
  <c r="E154" i="23"/>
  <c r="D154" i="23"/>
  <c r="C154" i="23"/>
  <c r="D10" i="22"/>
  <c r="C153" i="23"/>
  <c r="D153" i="23"/>
  <c r="F153" i="23"/>
  <c r="E153" i="23"/>
  <c r="D9" i="22"/>
  <c r="C152" i="23"/>
  <c r="F152" i="23"/>
  <c r="E152" i="23"/>
  <c r="D152" i="23"/>
  <c r="D11" i="22"/>
  <c r="D8" i="22"/>
  <c r="F92" i="2"/>
  <c r="E92" i="2"/>
  <c r="D92" i="2"/>
  <c r="B73" i="2" l="1"/>
  <c r="B74" i="2"/>
  <c r="B75" i="2"/>
  <c r="B76" i="2"/>
  <c r="B77" i="2"/>
  <c r="B78" i="2"/>
  <c r="B79" i="2"/>
  <c r="B80" i="2"/>
  <c r="B81" i="2"/>
  <c r="B82" i="2"/>
  <c r="B83" i="2"/>
  <c r="B84" i="2"/>
  <c r="B85" i="2"/>
  <c r="B86" i="2"/>
  <c r="B72" i="2"/>
  <c r="F54" i="2"/>
  <c r="E54" i="2"/>
  <c r="D54" i="2"/>
  <c r="C54" i="2"/>
  <c r="B44" i="2"/>
  <c r="B45" i="2"/>
  <c r="B46" i="2"/>
  <c r="B47" i="2"/>
  <c r="B48" i="2"/>
  <c r="B42" i="2"/>
  <c r="B43" i="2"/>
  <c r="B35" i="2"/>
  <c r="B36" i="2"/>
  <c r="B37" i="2"/>
  <c r="B38" i="2"/>
  <c r="B39" i="2"/>
  <c r="B40" i="2"/>
  <c r="B41" i="2"/>
  <c r="B34" i="2"/>
  <c r="F16" i="2"/>
  <c r="E16" i="2"/>
  <c r="D16" i="2"/>
  <c r="C16" i="2"/>
  <c r="D66" i="1"/>
  <c r="E66" i="1" s="1"/>
  <c r="D65" i="1"/>
  <c r="D64" i="1"/>
  <c r="E64" i="1" s="1"/>
  <c r="F64" i="1" s="1"/>
  <c r="D63" i="1"/>
  <c r="E63" i="1" s="1"/>
  <c r="D62" i="1"/>
  <c r="E62" i="1" s="1"/>
  <c r="D61" i="1"/>
  <c r="D60" i="1"/>
  <c r="E60" i="1" s="1"/>
  <c r="F60" i="1" s="1"/>
  <c r="D59" i="1"/>
  <c r="E59" i="1" s="1"/>
  <c r="D58" i="1"/>
  <c r="E58" i="1" s="1"/>
  <c r="D57" i="1"/>
  <c r="D56" i="1"/>
  <c r="E56" i="1" s="1"/>
  <c r="F56" i="1" s="1"/>
  <c r="D55" i="1"/>
  <c r="E55" i="1" s="1"/>
  <c r="D54" i="1"/>
  <c r="E54" i="1" s="1"/>
  <c r="D53" i="1"/>
  <c r="D52" i="1"/>
  <c r="E52" i="1" s="1"/>
  <c r="F52" i="1" s="1"/>
  <c r="D51" i="1"/>
  <c r="E51" i="1" s="1"/>
  <c r="D50" i="1"/>
  <c r="E50" i="1" s="1"/>
  <c r="D49" i="1"/>
  <c r="D48" i="1"/>
  <c r="E48" i="1" s="1"/>
  <c r="F48" i="1" s="1"/>
  <c r="D47" i="1"/>
  <c r="E47" i="1" s="1"/>
  <c r="D46" i="1"/>
  <c r="E46" i="1" s="1"/>
  <c r="D45" i="1"/>
  <c r="D44" i="1"/>
  <c r="E44" i="1" s="1"/>
  <c r="D43" i="1"/>
  <c r="D42" i="1"/>
  <c r="D41" i="1"/>
  <c r="D40" i="1"/>
  <c r="D39" i="1"/>
  <c r="D38" i="1"/>
  <c r="D37" i="1"/>
  <c r="D36" i="1"/>
  <c r="D35" i="1"/>
  <c r="D34" i="1"/>
  <c r="D33" i="1"/>
  <c r="D32" i="1"/>
  <c r="D31" i="1"/>
  <c r="D30" i="1"/>
  <c r="D29" i="1"/>
  <c r="D28" i="1"/>
  <c r="D27" i="1"/>
  <c r="D26" i="1"/>
  <c r="B11" i="2"/>
  <c r="B10" i="2"/>
  <c r="B9" i="2"/>
  <c r="B8" i="2"/>
  <c r="B19" i="1"/>
  <c r="B18" i="1"/>
  <c r="B17" i="1"/>
  <c r="B16" i="1"/>
  <c r="F84" i="2" l="1"/>
  <c r="E84" i="2"/>
  <c r="D84" i="2"/>
  <c r="C84" i="2"/>
  <c r="D80" i="2"/>
  <c r="F80" i="2"/>
  <c r="E80" i="2"/>
  <c r="C80" i="2"/>
  <c r="D76" i="2"/>
  <c r="F76" i="2"/>
  <c r="E76" i="2"/>
  <c r="C76" i="2"/>
  <c r="C72" i="2"/>
  <c r="D72" i="2"/>
  <c r="F72" i="2"/>
  <c r="E72" i="2"/>
  <c r="E83" i="2"/>
  <c r="F83" i="2"/>
  <c r="D83" i="2"/>
  <c r="C83" i="2"/>
  <c r="D79" i="2"/>
  <c r="E79" i="2"/>
  <c r="F79" i="2"/>
  <c r="C79" i="2"/>
  <c r="D75" i="2"/>
  <c r="E75" i="2"/>
  <c r="F75" i="2"/>
  <c r="C75" i="2"/>
  <c r="F86" i="2"/>
  <c r="E86" i="2"/>
  <c r="D86" i="2"/>
  <c r="C86" i="2"/>
  <c r="F82" i="2"/>
  <c r="D82" i="2"/>
  <c r="E82" i="2"/>
  <c r="C82" i="2"/>
  <c r="E78" i="2"/>
  <c r="D78" i="2"/>
  <c r="F78" i="2"/>
  <c r="C78" i="2"/>
  <c r="F74" i="2"/>
  <c r="E74" i="2"/>
  <c r="D74" i="2"/>
  <c r="C74" i="2"/>
  <c r="E85" i="2"/>
  <c r="F85" i="2"/>
  <c r="D85" i="2"/>
  <c r="C85" i="2"/>
  <c r="D81" i="2"/>
  <c r="E81" i="2"/>
  <c r="F81" i="2"/>
  <c r="C81" i="2"/>
  <c r="E77" i="2"/>
  <c r="D77" i="2"/>
  <c r="F77" i="2"/>
  <c r="C77" i="2"/>
  <c r="E73" i="2"/>
  <c r="F73" i="2"/>
  <c r="D73" i="2"/>
  <c r="C73" i="2"/>
  <c r="E57" i="1"/>
  <c r="F57" i="1" s="1"/>
  <c r="E49" i="1"/>
  <c r="F49" i="1" s="1"/>
  <c r="F44" i="1"/>
  <c r="F63" i="1"/>
  <c r="F59" i="1"/>
  <c r="F55" i="1"/>
  <c r="F51" i="1"/>
  <c r="F47" i="1"/>
  <c r="E65" i="1"/>
  <c r="F65" i="1" s="1"/>
  <c r="F66" i="1"/>
  <c r="F62" i="1"/>
  <c r="F58" i="1"/>
  <c r="F54" i="1"/>
  <c r="F50" i="1"/>
  <c r="F46" i="1"/>
  <c r="E61" i="1"/>
  <c r="F61" i="1" s="1"/>
  <c r="E53" i="1"/>
  <c r="F53" i="1" s="1"/>
  <c r="E45" i="1"/>
  <c r="F45" i="1" s="1"/>
  <c r="D10" i="2" l="1"/>
  <c r="B46" i="21" s="1"/>
  <c r="D11" i="2"/>
  <c r="B58" i="21" s="1"/>
  <c r="D8" i="2"/>
  <c r="B22" i="21" s="1"/>
  <c r="D9" i="2"/>
  <c r="B34" i="21" s="1"/>
  <c r="H78" i="17"/>
  <c r="C160" i="1" s="1"/>
  <c r="H77" i="17"/>
  <c r="C159" i="1" s="1"/>
  <c r="H76" i="17"/>
  <c r="C158" i="1" s="1"/>
  <c r="H75" i="17"/>
  <c r="C157" i="1" s="1"/>
  <c r="H74" i="17"/>
  <c r="C156" i="1" s="1"/>
  <c r="H73" i="17"/>
  <c r="C155" i="1" s="1"/>
  <c r="H72" i="17"/>
  <c r="C154" i="1" s="1"/>
  <c r="H71" i="17"/>
  <c r="C153" i="1" s="1"/>
  <c r="H70" i="17"/>
  <c r="C152" i="1" s="1"/>
  <c r="H69" i="17"/>
  <c r="C151" i="1" s="1"/>
  <c r="H68" i="17"/>
  <c r="C150" i="1" s="1"/>
  <c r="H67" i="17"/>
  <c r="C149" i="1" s="1"/>
  <c r="H66" i="17"/>
  <c r="C148" i="1" s="1"/>
  <c r="H65" i="17"/>
  <c r="C147" i="1" s="1"/>
  <c r="H64" i="17"/>
  <c r="C146" i="1" s="1"/>
  <c r="H63" i="17"/>
  <c r="C145" i="1" s="1"/>
  <c r="H62" i="17"/>
  <c r="C144" i="1" s="1"/>
  <c r="H61" i="17"/>
  <c r="C143" i="1" s="1"/>
  <c r="H60" i="17"/>
  <c r="C142" i="1" s="1"/>
  <c r="H59" i="17"/>
  <c r="C141" i="1" s="1"/>
  <c r="H58" i="17"/>
  <c r="C140" i="1" s="1"/>
  <c r="H57" i="17"/>
  <c r="C139" i="1" s="1"/>
  <c r="H56" i="17"/>
  <c r="C138" i="1" s="1"/>
  <c r="H41" i="17"/>
  <c r="C124" i="1" s="1"/>
  <c r="H38" i="17"/>
  <c r="C121" i="1" s="1"/>
  <c r="H37" i="17"/>
  <c r="C120" i="1" s="1"/>
  <c r="A83" i="21" l="1"/>
  <c r="A84" i="21"/>
  <c r="A85" i="21"/>
  <c r="A86" i="21"/>
  <c r="A87" i="21"/>
  <c r="A88" i="21"/>
  <c r="A89" i="21"/>
  <c r="A90" i="21"/>
  <c r="A91" i="21"/>
  <c r="A92" i="21"/>
  <c r="B91" i="21"/>
  <c r="C91" i="21"/>
  <c r="D91" i="21"/>
  <c r="E91" i="21"/>
  <c r="F91" i="21"/>
  <c r="G91" i="21"/>
  <c r="H91" i="21"/>
  <c r="I91" i="21"/>
  <c r="J91" i="21"/>
  <c r="K91" i="21"/>
  <c r="L91" i="21"/>
  <c r="B92" i="21"/>
  <c r="C92" i="21"/>
  <c r="D92" i="21"/>
  <c r="E92" i="21"/>
  <c r="F92" i="21"/>
  <c r="G92" i="21"/>
  <c r="H92" i="21"/>
  <c r="I92" i="21"/>
  <c r="J92" i="21"/>
  <c r="K92" i="21"/>
  <c r="L92" i="21"/>
  <c r="AA207" i="20"/>
  <c r="AB207" i="20" s="1"/>
  <c r="AC207" i="20" s="1"/>
  <c r="AD207" i="20" s="1"/>
  <c r="AE207" i="20" s="1"/>
  <c r="AF207" i="20" s="1"/>
  <c r="AG207" i="20" s="1"/>
  <c r="AH207" i="20" s="1"/>
  <c r="AI207" i="20" s="1"/>
  <c r="AJ207" i="20" s="1"/>
  <c r="O207" i="20"/>
  <c r="P207" i="20" s="1"/>
  <c r="Q207" i="20" s="1"/>
  <c r="R207" i="20" s="1"/>
  <c r="S207" i="20" s="1"/>
  <c r="T207" i="20" s="1"/>
  <c r="U207" i="20" s="1"/>
  <c r="V207" i="20" s="1"/>
  <c r="W207" i="20" s="1"/>
  <c r="X207" i="20" s="1"/>
  <c r="C207" i="20"/>
  <c r="D207" i="20" s="1"/>
  <c r="E207" i="20" s="1"/>
  <c r="F207" i="20" s="1"/>
  <c r="G207" i="20" s="1"/>
  <c r="H207" i="20" s="1"/>
  <c r="I207" i="20" s="1"/>
  <c r="J207" i="20" s="1"/>
  <c r="K207" i="20" s="1"/>
  <c r="L207" i="20" s="1"/>
  <c r="AJ204" i="20"/>
  <c r="AI204" i="20"/>
  <c r="AH204" i="20"/>
  <c r="AG204" i="20"/>
  <c r="AF204" i="20"/>
  <c r="AE204" i="20"/>
  <c r="AD204" i="20"/>
  <c r="AC204" i="20"/>
  <c r="AB204" i="20"/>
  <c r="AA204" i="20"/>
  <c r="Z204" i="20"/>
  <c r="X204" i="20"/>
  <c r="W204" i="20"/>
  <c r="V204" i="20"/>
  <c r="U204" i="20"/>
  <c r="T204" i="20"/>
  <c r="S204" i="20"/>
  <c r="R204" i="20"/>
  <c r="Q204" i="20"/>
  <c r="P204" i="20"/>
  <c r="O204" i="20"/>
  <c r="N204" i="20"/>
  <c r="L204" i="20"/>
  <c r="K204" i="20"/>
  <c r="J204" i="20"/>
  <c r="I204" i="20"/>
  <c r="H204" i="20"/>
  <c r="G204" i="20"/>
  <c r="F204" i="20"/>
  <c r="E204" i="20"/>
  <c r="D204" i="20"/>
  <c r="C204" i="20"/>
  <c r="B204" i="20"/>
  <c r="A204" i="20"/>
  <c r="M204" i="20" s="1"/>
  <c r="Y204" i="20" s="1"/>
  <c r="AJ203" i="20"/>
  <c r="AI203" i="20"/>
  <c r="AH203" i="20"/>
  <c r="AG203" i="20"/>
  <c r="AF203" i="20"/>
  <c r="AE203" i="20"/>
  <c r="AD203" i="20"/>
  <c r="AC203" i="20"/>
  <c r="AB203" i="20"/>
  <c r="AA203" i="20"/>
  <c r="Z203" i="20"/>
  <c r="X203" i="20"/>
  <c r="W203" i="20"/>
  <c r="V203" i="20"/>
  <c r="U203" i="20"/>
  <c r="T203" i="20"/>
  <c r="S203" i="20"/>
  <c r="R203" i="20"/>
  <c r="Q203" i="20"/>
  <c r="P203" i="20"/>
  <c r="O203" i="20"/>
  <c r="N203" i="20"/>
  <c r="L203" i="20"/>
  <c r="K203" i="20"/>
  <c r="J203" i="20"/>
  <c r="I203" i="20"/>
  <c r="H203" i="20"/>
  <c r="G203" i="20"/>
  <c r="F203" i="20"/>
  <c r="E203" i="20"/>
  <c r="D203" i="20"/>
  <c r="C203" i="20"/>
  <c r="B203" i="20"/>
  <c r="A203" i="20"/>
  <c r="M203" i="20" s="1"/>
  <c r="Y203" i="20" s="1"/>
  <c r="AJ202" i="20"/>
  <c r="AI202" i="20"/>
  <c r="AH202" i="20"/>
  <c r="AG202" i="20"/>
  <c r="AF202" i="20"/>
  <c r="AE202" i="20"/>
  <c r="AD202" i="20"/>
  <c r="AC202" i="20"/>
  <c r="AB202" i="20"/>
  <c r="AA202" i="20"/>
  <c r="Z202" i="20"/>
  <c r="X202" i="20"/>
  <c r="W202" i="20"/>
  <c r="V202" i="20"/>
  <c r="U202" i="20"/>
  <c r="T202" i="20"/>
  <c r="S202" i="20"/>
  <c r="R202" i="20"/>
  <c r="Q202" i="20"/>
  <c r="P202" i="20"/>
  <c r="O202" i="20"/>
  <c r="N202" i="20"/>
  <c r="L202" i="20"/>
  <c r="K202" i="20"/>
  <c r="J202" i="20"/>
  <c r="I202" i="20"/>
  <c r="H202" i="20"/>
  <c r="G202" i="20"/>
  <c r="F202" i="20"/>
  <c r="E202" i="20"/>
  <c r="D202" i="20"/>
  <c r="C202" i="20"/>
  <c r="B202" i="20"/>
  <c r="A202" i="20"/>
  <c r="M202" i="20" s="1"/>
  <c r="Y202" i="20" s="1"/>
  <c r="AJ201" i="20"/>
  <c r="AI201" i="20"/>
  <c r="AH201" i="20"/>
  <c r="AG201" i="20"/>
  <c r="AF201" i="20"/>
  <c r="AE201" i="20"/>
  <c r="AD201" i="20"/>
  <c r="AC201" i="20"/>
  <c r="AB201" i="20"/>
  <c r="AA201" i="20"/>
  <c r="Z201" i="20"/>
  <c r="X201" i="20"/>
  <c r="W201" i="20"/>
  <c r="V201" i="20"/>
  <c r="U201" i="20"/>
  <c r="T201" i="20"/>
  <c r="S201" i="20"/>
  <c r="R201" i="20"/>
  <c r="Q201" i="20"/>
  <c r="P201" i="20"/>
  <c r="O201" i="20"/>
  <c r="N201" i="20"/>
  <c r="L201" i="20"/>
  <c r="K201" i="20"/>
  <c r="J201" i="20"/>
  <c r="I201" i="20"/>
  <c r="H201" i="20"/>
  <c r="G201" i="20"/>
  <c r="F201" i="20"/>
  <c r="E201" i="20"/>
  <c r="D201" i="20"/>
  <c r="C201" i="20"/>
  <c r="B201" i="20"/>
  <c r="A201" i="20"/>
  <c r="M201" i="20" s="1"/>
  <c r="Y201" i="20" s="1"/>
  <c r="AJ200" i="20"/>
  <c r="AI200" i="20"/>
  <c r="AH200" i="20"/>
  <c r="AG200" i="20"/>
  <c r="AF200" i="20"/>
  <c r="AE200" i="20"/>
  <c r="AD200" i="20"/>
  <c r="AC200" i="20"/>
  <c r="AB200" i="20"/>
  <c r="AA200" i="20"/>
  <c r="Z200" i="20"/>
  <c r="X200" i="20"/>
  <c r="W200" i="20"/>
  <c r="V200" i="20"/>
  <c r="U200" i="20"/>
  <c r="T200" i="20"/>
  <c r="S200" i="20"/>
  <c r="R200" i="20"/>
  <c r="Q200" i="20"/>
  <c r="P200" i="20"/>
  <c r="O200" i="20"/>
  <c r="N200" i="20"/>
  <c r="L200" i="20"/>
  <c r="K200" i="20"/>
  <c r="J200" i="20"/>
  <c r="I200" i="20"/>
  <c r="H200" i="20"/>
  <c r="G200" i="20"/>
  <c r="F200" i="20"/>
  <c r="E200" i="20"/>
  <c r="D200" i="20"/>
  <c r="C200" i="20"/>
  <c r="B200" i="20"/>
  <c r="A200" i="20"/>
  <c r="M200" i="20" s="1"/>
  <c r="Y200" i="20" s="1"/>
  <c r="AJ199" i="20"/>
  <c r="AI199" i="20"/>
  <c r="AH199" i="20"/>
  <c r="AG199" i="20"/>
  <c r="AF199" i="20"/>
  <c r="AE199" i="20"/>
  <c r="AD199" i="20"/>
  <c r="AC199" i="20"/>
  <c r="AB199" i="20"/>
  <c r="AA199" i="20"/>
  <c r="Z199" i="20"/>
  <c r="X199" i="20"/>
  <c r="W199" i="20"/>
  <c r="V199" i="20"/>
  <c r="U199" i="20"/>
  <c r="T199" i="20"/>
  <c r="S199" i="20"/>
  <c r="R199" i="20"/>
  <c r="Q199" i="20"/>
  <c r="P199" i="20"/>
  <c r="O199" i="20"/>
  <c r="N199" i="20"/>
  <c r="L199" i="20"/>
  <c r="K199" i="20"/>
  <c r="J199" i="20"/>
  <c r="I199" i="20"/>
  <c r="H199" i="20"/>
  <c r="G199" i="20"/>
  <c r="F199" i="20"/>
  <c r="E199" i="20"/>
  <c r="D199" i="20"/>
  <c r="C199" i="20"/>
  <c r="B199" i="20"/>
  <c r="A199" i="20"/>
  <c r="M199" i="20" s="1"/>
  <c r="Y199" i="20" s="1"/>
  <c r="AJ198" i="20"/>
  <c r="AI198" i="20"/>
  <c r="AH198" i="20"/>
  <c r="AG198" i="20"/>
  <c r="AF198" i="20"/>
  <c r="AE198" i="20"/>
  <c r="AD198" i="20"/>
  <c r="AC198" i="20"/>
  <c r="AB198" i="20"/>
  <c r="AA198" i="20"/>
  <c r="Z198" i="20"/>
  <c r="X198" i="20"/>
  <c r="W198" i="20"/>
  <c r="V198" i="20"/>
  <c r="U198" i="20"/>
  <c r="T198" i="20"/>
  <c r="S198" i="20"/>
  <c r="R198" i="20"/>
  <c r="Q198" i="20"/>
  <c r="P198" i="20"/>
  <c r="O198" i="20"/>
  <c r="N198" i="20"/>
  <c r="L198" i="20"/>
  <c r="K198" i="20"/>
  <c r="J198" i="20"/>
  <c r="I198" i="20"/>
  <c r="H198" i="20"/>
  <c r="G198" i="20"/>
  <c r="F198" i="20"/>
  <c r="E198" i="20"/>
  <c r="D198" i="20"/>
  <c r="C198" i="20"/>
  <c r="B198" i="20"/>
  <c r="A198" i="20"/>
  <c r="M198" i="20" s="1"/>
  <c r="Y198" i="20" s="1"/>
  <c r="AJ197" i="20"/>
  <c r="AI197" i="20"/>
  <c r="AH197" i="20"/>
  <c r="AG197" i="20"/>
  <c r="AF197" i="20"/>
  <c r="AE197" i="20"/>
  <c r="AD197" i="20"/>
  <c r="AC197" i="20"/>
  <c r="AB197" i="20"/>
  <c r="AA197" i="20"/>
  <c r="Z197" i="20"/>
  <c r="X197" i="20"/>
  <c r="W197" i="20"/>
  <c r="V197" i="20"/>
  <c r="U197" i="20"/>
  <c r="T197" i="20"/>
  <c r="S197" i="20"/>
  <c r="R197" i="20"/>
  <c r="Q197" i="20"/>
  <c r="P197" i="20"/>
  <c r="O197" i="20"/>
  <c r="N197" i="20"/>
  <c r="L197" i="20"/>
  <c r="K197" i="20"/>
  <c r="J197" i="20"/>
  <c r="I197" i="20"/>
  <c r="H197" i="20"/>
  <c r="G197" i="20"/>
  <c r="F197" i="20"/>
  <c r="E197" i="20"/>
  <c r="D197" i="20"/>
  <c r="C197" i="20"/>
  <c r="B197" i="20"/>
  <c r="A197" i="20"/>
  <c r="M197" i="20" s="1"/>
  <c r="Y197" i="20" s="1"/>
  <c r="AJ196" i="20"/>
  <c r="AI196" i="20"/>
  <c r="AH196" i="20"/>
  <c r="AG196" i="20"/>
  <c r="AF196" i="20"/>
  <c r="AE196" i="20"/>
  <c r="AD196" i="20"/>
  <c r="AC196" i="20"/>
  <c r="AB196" i="20"/>
  <c r="AA196" i="20"/>
  <c r="Z196" i="20"/>
  <c r="X196" i="20"/>
  <c r="W196" i="20"/>
  <c r="V196" i="20"/>
  <c r="U196" i="20"/>
  <c r="T196" i="20"/>
  <c r="S196" i="20"/>
  <c r="R196" i="20"/>
  <c r="Q196" i="20"/>
  <c r="P196" i="20"/>
  <c r="O196" i="20"/>
  <c r="N196" i="20"/>
  <c r="L196" i="20"/>
  <c r="K196" i="20"/>
  <c r="J196" i="20"/>
  <c r="I196" i="20"/>
  <c r="H196" i="20"/>
  <c r="G196" i="20"/>
  <c r="F196" i="20"/>
  <c r="E196" i="20"/>
  <c r="D196" i="20"/>
  <c r="C196" i="20"/>
  <c r="B196" i="20"/>
  <c r="A196" i="20"/>
  <c r="M196" i="20" s="1"/>
  <c r="Y196" i="20" s="1"/>
  <c r="AJ195" i="20"/>
  <c r="AI195" i="20"/>
  <c r="AH195" i="20"/>
  <c r="AG195" i="20"/>
  <c r="AF195" i="20"/>
  <c r="AE195" i="20"/>
  <c r="AD195" i="20"/>
  <c r="AC195" i="20"/>
  <c r="AB195" i="20"/>
  <c r="AA195" i="20"/>
  <c r="Z195" i="20"/>
  <c r="X195" i="20"/>
  <c r="W195" i="20"/>
  <c r="V195" i="20"/>
  <c r="U195" i="20"/>
  <c r="T195" i="20"/>
  <c r="S195" i="20"/>
  <c r="R195" i="20"/>
  <c r="Q195" i="20"/>
  <c r="P195" i="20"/>
  <c r="O195" i="20"/>
  <c r="N195" i="20"/>
  <c r="L195" i="20"/>
  <c r="K195" i="20"/>
  <c r="J195" i="20"/>
  <c r="I195" i="20"/>
  <c r="H195" i="20"/>
  <c r="G195" i="20"/>
  <c r="F195" i="20"/>
  <c r="E195" i="20"/>
  <c r="D195" i="20"/>
  <c r="C195" i="20"/>
  <c r="B195" i="20"/>
  <c r="A195" i="20"/>
  <c r="M195" i="20" s="1"/>
  <c r="Y195" i="20" s="1"/>
  <c r="AJ194" i="20"/>
  <c r="AI194" i="20"/>
  <c r="AH194" i="20"/>
  <c r="AG194" i="20"/>
  <c r="AF194" i="20"/>
  <c r="AE194" i="20"/>
  <c r="AD194" i="20"/>
  <c r="AC194" i="20"/>
  <c r="AB194" i="20"/>
  <c r="AA194" i="20"/>
  <c r="Z194" i="20"/>
  <c r="X194" i="20"/>
  <c r="W194" i="20"/>
  <c r="V194" i="20"/>
  <c r="U194" i="20"/>
  <c r="T194" i="20"/>
  <c r="S194" i="20"/>
  <c r="R194" i="20"/>
  <c r="Q194" i="20"/>
  <c r="P194" i="20"/>
  <c r="O194" i="20"/>
  <c r="N194" i="20"/>
  <c r="L194" i="20"/>
  <c r="K194" i="20"/>
  <c r="J194" i="20"/>
  <c r="I194" i="20"/>
  <c r="H194" i="20"/>
  <c r="G194" i="20"/>
  <c r="F194" i="20"/>
  <c r="E194" i="20"/>
  <c r="D194" i="20"/>
  <c r="C194" i="20"/>
  <c r="B194" i="20"/>
  <c r="A194" i="20"/>
  <c r="M194" i="20" s="1"/>
  <c r="Y194" i="20" s="1"/>
  <c r="AJ193" i="20"/>
  <c r="AI193" i="20"/>
  <c r="AH193" i="20"/>
  <c r="AG193" i="20"/>
  <c r="AF193" i="20"/>
  <c r="AE193" i="20"/>
  <c r="AD193" i="20"/>
  <c r="AC193" i="20"/>
  <c r="AB193" i="20"/>
  <c r="AA193" i="20"/>
  <c r="Z193" i="20"/>
  <c r="X193" i="20"/>
  <c r="W193" i="20"/>
  <c r="V193" i="20"/>
  <c r="U193" i="20"/>
  <c r="T193" i="20"/>
  <c r="S193" i="20"/>
  <c r="R193" i="20"/>
  <c r="Q193" i="20"/>
  <c r="P193" i="20"/>
  <c r="O193" i="20"/>
  <c r="N193" i="20"/>
  <c r="L193" i="20"/>
  <c r="K193" i="20"/>
  <c r="J193" i="20"/>
  <c r="I193" i="20"/>
  <c r="H193" i="20"/>
  <c r="G193" i="20"/>
  <c r="F193" i="20"/>
  <c r="E193" i="20"/>
  <c r="D193" i="20"/>
  <c r="C193" i="20"/>
  <c r="B193" i="20"/>
  <c r="A193" i="20"/>
  <c r="M193" i="20" s="1"/>
  <c r="Y193" i="20" s="1"/>
  <c r="AJ192" i="20"/>
  <c r="AI192" i="20"/>
  <c r="AH192" i="20"/>
  <c r="AG192" i="20"/>
  <c r="AF192" i="20"/>
  <c r="AE192" i="20"/>
  <c r="AD192" i="20"/>
  <c r="AC192" i="20"/>
  <c r="AB192" i="20"/>
  <c r="AA192" i="20"/>
  <c r="Z192" i="20"/>
  <c r="X192" i="20"/>
  <c r="W192" i="20"/>
  <c r="V192" i="20"/>
  <c r="U192" i="20"/>
  <c r="T192" i="20"/>
  <c r="S192" i="20"/>
  <c r="R192" i="20"/>
  <c r="Q192" i="20"/>
  <c r="P192" i="20"/>
  <c r="O192" i="20"/>
  <c r="N192" i="20"/>
  <c r="L192" i="20"/>
  <c r="K192" i="20"/>
  <c r="J192" i="20"/>
  <c r="I192" i="20"/>
  <c r="H192" i="20"/>
  <c r="G192" i="20"/>
  <c r="F192" i="20"/>
  <c r="E192" i="20"/>
  <c r="D192" i="20"/>
  <c r="C192" i="20"/>
  <c r="B192" i="20"/>
  <c r="A192" i="20"/>
  <c r="M192" i="20" s="1"/>
  <c r="Y192" i="20" s="1"/>
  <c r="AJ191" i="20"/>
  <c r="AI191" i="20"/>
  <c r="AH191" i="20"/>
  <c r="AG191" i="20"/>
  <c r="AF191" i="20"/>
  <c r="AE191" i="20"/>
  <c r="AD191" i="20"/>
  <c r="AC191" i="20"/>
  <c r="AB191" i="20"/>
  <c r="AA191" i="20"/>
  <c r="Z191" i="20"/>
  <c r="X191" i="20"/>
  <c r="W191" i="20"/>
  <c r="V191" i="20"/>
  <c r="U191" i="20"/>
  <c r="T191" i="20"/>
  <c r="S191" i="20"/>
  <c r="R191" i="20"/>
  <c r="Q191" i="20"/>
  <c r="P191" i="20"/>
  <c r="O191" i="20"/>
  <c r="N191" i="20"/>
  <c r="L191" i="20"/>
  <c r="K191" i="20"/>
  <c r="J191" i="20"/>
  <c r="I191" i="20"/>
  <c r="H191" i="20"/>
  <c r="G191" i="20"/>
  <c r="F191" i="20"/>
  <c r="E191" i="20"/>
  <c r="D191" i="20"/>
  <c r="C191" i="20"/>
  <c r="B191" i="20"/>
  <c r="A191" i="20"/>
  <c r="M191" i="20" s="1"/>
  <c r="Y191" i="20" s="1"/>
  <c r="AJ190" i="20"/>
  <c r="AI190" i="20"/>
  <c r="AH190" i="20"/>
  <c r="AG190" i="20"/>
  <c r="AF190" i="20"/>
  <c r="AE190" i="20"/>
  <c r="AD190" i="20"/>
  <c r="AC190" i="20"/>
  <c r="AB190" i="20"/>
  <c r="AA190" i="20"/>
  <c r="Z190" i="20"/>
  <c r="X190" i="20"/>
  <c r="W190" i="20"/>
  <c r="V190" i="20"/>
  <c r="U190" i="20"/>
  <c r="T190" i="20"/>
  <c r="S190" i="20"/>
  <c r="R190" i="20"/>
  <c r="Q190" i="20"/>
  <c r="P190" i="20"/>
  <c r="O190" i="20"/>
  <c r="N190" i="20"/>
  <c r="L190" i="20"/>
  <c r="K190" i="20"/>
  <c r="J190" i="20"/>
  <c r="I190" i="20"/>
  <c r="H190" i="20"/>
  <c r="G190" i="20"/>
  <c r="F190" i="20"/>
  <c r="E190" i="20"/>
  <c r="D190" i="20"/>
  <c r="C190" i="20"/>
  <c r="B190" i="20"/>
  <c r="A190" i="20"/>
  <c r="M190" i="20" s="1"/>
  <c r="Y190" i="20" s="1"/>
  <c r="AJ189" i="20"/>
  <c r="AI189" i="20"/>
  <c r="AH189" i="20"/>
  <c r="AG189" i="20"/>
  <c r="AF189" i="20"/>
  <c r="AE189" i="20"/>
  <c r="AD189" i="20"/>
  <c r="AC189" i="20"/>
  <c r="AB189" i="20"/>
  <c r="AA189" i="20"/>
  <c r="Z189" i="20"/>
  <c r="X189" i="20"/>
  <c r="W189" i="20"/>
  <c r="V189" i="20"/>
  <c r="U189" i="20"/>
  <c r="T189" i="20"/>
  <c r="S189" i="20"/>
  <c r="R189" i="20"/>
  <c r="Q189" i="20"/>
  <c r="P189" i="20"/>
  <c r="O189" i="20"/>
  <c r="N189" i="20"/>
  <c r="L189" i="20"/>
  <c r="K189" i="20"/>
  <c r="J189" i="20"/>
  <c r="I189" i="20"/>
  <c r="H189" i="20"/>
  <c r="G189" i="20"/>
  <c r="F189" i="20"/>
  <c r="E189" i="20"/>
  <c r="D189" i="20"/>
  <c r="C189" i="20"/>
  <c r="B189" i="20"/>
  <c r="A189" i="20"/>
  <c r="M189" i="20" s="1"/>
  <c r="Y189" i="20" s="1"/>
  <c r="AJ188" i="20"/>
  <c r="AI188" i="20"/>
  <c r="AH188" i="20"/>
  <c r="AG188" i="20"/>
  <c r="AF188" i="20"/>
  <c r="AE188" i="20"/>
  <c r="AD188" i="20"/>
  <c r="AC188" i="20"/>
  <c r="AB188" i="20"/>
  <c r="AA188" i="20"/>
  <c r="Z188" i="20"/>
  <c r="X188" i="20"/>
  <c r="W188" i="20"/>
  <c r="V188" i="20"/>
  <c r="U188" i="20"/>
  <c r="T188" i="20"/>
  <c r="S188" i="20"/>
  <c r="R188" i="20"/>
  <c r="Q188" i="20"/>
  <c r="P188" i="20"/>
  <c r="O188" i="20"/>
  <c r="N188" i="20"/>
  <c r="L188" i="20"/>
  <c r="K188" i="20"/>
  <c r="J188" i="20"/>
  <c r="I188" i="20"/>
  <c r="H188" i="20"/>
  <c r="G188" i="20"/>
  <c r="F188" i="20"/>
  <c r="E188" i="20"/>
  <c r="D188" i="20"/>
  <c r="C188" i="20"/>
  <c r="B188" i="20"/>
  <c r="A188" i="20"/>
  <c r="M188" i="20" s="1"/>
  <c r="Y188" i="20" s="1"/>
  <c r="AJ187" i="20"/>
  <c r="AI187" i="20"/>
  <c r="AH187" i="20"/>
  <c r="AG187" i="20"/>
  <c r="AF187" i="20"/>
  <c r="AE187" i="20"/>
  <c r="AD187" i="20"/>
  <c r="AC187" i="20"/>
  <c r="AB187" i="20"/>
  <c r="AA187" i="20"/>
  <c r="Z187" i="20"/>
  <c r="X187" i="20"/>
  <c r="W187" i="20"/>
  <c r="V187" i="20"/>
  <c r="U187" i="20"/>
  <c r="T187" i="20"/>
  <c r="S187" i="20"/>
  <c r="R187" i="20"/>
  <c r="Q187" i="20"/>
  <c r="P187" i="20"/>
  <c r="O187" i="20"/>
  <c r="N187" i="20"/>
  <c r="L187" i="20"/>
  <c r="K187" i="20"/>
  <c r="J187" i="20"/>
  <c r="I187" i="20"/>
  <c r="H187" i="20"/>
  <c r="G187" i="20"/>
  <c r="F187" i="20"/>
  <c r="E187" i="20"/>
  <c r="D187" i="20"/>
  <c r="C187" i="20"/>
  <c r="B187" i="20"/>
  <c r="A187" i="20"/>
  <c r="M187" i="20" s="1"/>
  <c r="Y187" i="20" s="1"/>
  <c r="AJ186" i="20"/>
  <c r="AI186" i="20"/>
  <c r="AH186" i="20"/>
  <c r="AG186" i="20"/>
  <c r="AF186" i="20"/>
  <c r="AE186" i="20"/>
  <c r="AD186" i="20"/>
  <c r="AC186" i="20"/>
  <c r="AB186" i="20"/>
  <c r="AA186" i="20"/>
  <c r="Z186" i="20"/>
  <c r="X186" i="20"/>
  <c r="W186" i="20"/>
  <c r="V186" i="20"/>
  <c r="U186" i="20"/>
  <c r="T186" i="20"/>
  <c r="S186" i="20"/>
  <c r="R186" i="20"/>
  <c r="Q186" i="20"/>
  <c r="P186" i="20"/>
  <c r="O186" i="20"/>
  <c r="N186" i="20"/>
  <c r="L186" i="20"/>
  <c r="K186" i="20"/>
  <c r="J186" i="20"/>
  <c r="I186" i="20"/>
  <c r="H186" i="20"/>
  <c r="G186" i="20"/>
  <c r="F186" i="20"/>
  <c r="E186" i="20"/>
  <c r="D186" i="20"/>
  <c r="C186" i="20"/>
  <c r="B186" i="20"/>
  <c r="A186" i="20"/>
  <c r="M186" i="20" s="1"/>
  <c r="Y186" i="20" s="1"/>
  <c r="AJ185" i="20"/>
  <c r="AI185" i="20"/>
  <c r="AH185" i="20"/>
  <c r="AG185" i="20"/>
  <c r="AF185" i="20"/>
  <c r="AE185" i="20"/>
  <c r="AD185" i="20"/>
  <c r="AC185" i="20"/>
  <c r="AB185" i="20"/>
  <c r="AA185" i="20"/>
  <c r="Z185" i="20"/>
  <c r="X185" i="20"/>
  <c r="W185" i="20"/>
  <c r="V185" i="20"/>
  <c r="U185" i="20"/>
  <c r="T185" i="20"/>
  <c r="S185" i="20"/>
  <c r="R185" i="20"/>
  <c r="Q185" i="20"/>
  <c r="P185" i="20"/>
  <c r="O185" i="20"/>
  <c r="N185" i="20"/>
  <c r="L185" i="20"/>
  <c r="K185" i="20"/>
  <c r="J185" i="20"/>
  <c r="I185" i="20"/>
  <c r="H185" i="20"/>
  <c r="G185" i="20"/>
  <c r="F185" i="20"/>
  <c r="E185" i="20"/>
  <c r="D185" i="20"/>
  <c r="C185" i="20"/>
  <c r="B185" i="20"/>
  <c r="A185" i="20"/>
  <c r="M185" i="20" s="1"/>
  <c r="Y185" i="20" s="1"/>
  <c r="AJ184" i="20"/>
  <c r="AI184" i="20"/>
  <c r="AH184" i="20"/>
  <c r="AG184" i="20"/>
  <c r="AF184" i="20"/>
  <c r="AE184" i="20"/>
  <c r="AD184" i="20"/>
  <c r="AC184" i="20"/>
  <c r="AB184" i="20"/>
  <c r="AA184" i="20"/>
  <c r="Z184" i="20"/>
  <c r="X184" i="20"/>
  <c r="W184" i="20"/>
  <c r="V184" i="20"/>
  <c r="U184" i="20"/>
  <c r="T184" i="20"/>
  <c r="S184" i="20"/>
  <c r="R184" i="20"/>
  <c r="Q184" i="20"/>
  <c r="P184" i="20"/>
  <c r="O184" i="20"/>
  <c r="N184" i="20"/>
  <c r="L184" i="20"/>
  <c r="K184" i="20"/>
  <c r="J184" i="20"/>
  <c r="I184" i="20"/>
  <c r="H184" i="20"/>
  <c r="G184" i="20"/>
  <c r="F184" i="20"/>
  <c r="E184" i="20"/>
  <c r="D184" i="20"/>
  <c r="C184" i="20"/>
  <c r="B184" i="20"/>
  <c r="A184" i="20"/>
  <c r="M184" i="20" s="1"/>
  <c r="Y184" i="20" s="1"/>
  <c r="AJ183" i="20"/>
  <c r="AI183" i="20"/>
  <c r="AH183" i="20"/>
  <c r="AG183" i="20"/>
  <c r="AF183" i="20"/>
  <c r="AE183" i="20"/>
  <c r="AD183" i="20"/>
  <c r="AC183" i="20"/>
  <c r="AB183" i="20"/>
  <c r="AA183" i="20"/>
  <c r="Z183" i="20"/>
  <c r="X183" i="20"/>
  <c r="W183" i="20"/>
  <c r="V183" i="20"/>
  <c r="U183" i="20"/>
  <c r="T183" i="20"/>
  <c r="S183" i="20"/>
  <c r="R183" i="20"/>
  <c r="Q183" i="20"/>
  <c r="P183" i="20"/>
  <c r="O183" i="20"/>
  <c r="N183" i="20"/>
  <c r="L183" i="20"/>
  <c r="K183" i="20"/>
  <c r="J183" i="20"/>
  <c r="I183" i="20"/>
  <c r="H183" i="20"/>
  <c r="G183" i="20"/>
  <c r="F183" i="20"/>
  <c r="E183" i="20"/>
  <c r="D183" i="20"/>
  <c r="C183" i="20"/>
  <c r="B183" i="20"/>
  <c r="A183" i="20"/>
  <c r="M183" i="20" s="1"/>
  <c r="Y183" i="20" s="1"/>
  <c r="AJ182" i="20"/>
  <c r="AI182" i="20"/>
  <c r="AH182" i="20"/>
  <c r="AG182" i="20"/>
  <c r="AF182" i="20"/>
  <c r="AE182" i="20"/>
  <c r="AD182" i="20"/>
  <c r="AC182" i="20"/>
  <c r="AB182" i="20"/>
  <c r="AA182" i="20"/>
  <c r="Z182" i="20"/>
  <c r="X182" i="20"/>
  <c r="W182" i="20"/>
  <c r="V182" i="20"/>
  <c r="U182" i="20"/>
  <c r="T182" i="20"/>
  <c r="S182" i="20"/>
  <c r="R182" i="20"/>
  <c r="Q182" i="20"/>
  <c r="P182" i="20"/>
  <c r="O182" i="20"/>
  <c r="N182" i="20"/>
  <c r="L182" i="20"/>
  <c r="K182" i="20"/>
  <c r="J182" i="20"/>
  <c r="I182" i="20"/>
  <c r="H182" i="20"/>
  <c r="G182" i="20"/>
  <c r="F182" i="20"/>
  <c r="E182" i="20"/>
  <c r="D182" i="20"/>
  <c r="C182" i="20"/>
  <c r="B182" i="20"/>
  <c r="A182" i="20"/>
  <c r="M182" i="20" s="1"/>
  <c r="Y182" i="20" s="1"/>
  <c r="AJ181" i="20"/>
  <c r="AI181" i="20"/>
  <c r="AH181" i="20"/>
  <c r="AG181" i="20"/>
  <c r="AF181" i="20"/>
  <c r="AE181" i="20"/>
  <c r="AD181" i="20"/>
  <c r="AC181" i="20"/>
  <c r="AB181" i="20"/>
  <c r="AA181" i="20"/>
  <c r="Z181" i="20"/>
  <c r="X181" i="20"/>
  <c r="W181" i="20"/>
  <c r="V181" i="20"/>
  <c r="U181" i="20"/>
  <c r="T181" i="20"/>
  <c r="S181" i="20"/>
  <c r="R181" i="20"/>
  <c r="Q181" i="20"/>
  <c r="P181" i="20"/>
  <c r="O181" i="20"/>
  <c r="N181" i="20"/>
  <c r="L181" i="20"/>
  <c r="K181" i="20"/>
  <c r="J181" i="20"/>
  <c r="I181" i="20"/>
  <c r="H181" i="20"/>
  <c r="G181" i="20"/>
  <c r="F181" i="20"/>
  <c r="E181" i="20"/>
  <c r="D181" i="20"/>
  <c r="C181" i="20"/>
  <c r="B181" i="20"/>
  <c r="A181" i="20"/>
  <c r="M181" i="20" s="1"/>
  <c r="Y181" i="20" s="1"/>
  <c r="AJ180" i="20"/>
  <c r="AI180" i="20"/>
  <c r="AH180" i="20"/>
  <c r="AG180" i="20"/>
  <c r="AF180" i="20"/>
  <c r="AE180" i="20"/>
  <c r="AD180" i="20"/>
  <c r="AC180" i="20"/>
  <c r="AB180" i="20"/>
  <c r="AA180" i="20"/>
  <c r="Z180" i="20"/>
  <c r="X180" i="20"/>
  <c r="W180" i="20"/>
  <c r="V180" i="20"/>
  <c r="U180" i="20"/>
  <c r="T180" i="20"/>
  <c r="S180" i="20"/>
  <c r="R180" i="20"/>
  <c r="Q180" i="20"/>
  <c r="P180" i="20"/>
  <c r="O180" i="20"/>
  <c r="N180" i="20"/>
  <c r="L180" i="20"/>
  <c r="K180" i="20"/>
  <c r="J180" i="20"/>
  <c r="I180" i="20"/>
  <c r="H180" i="20"/>
  <c r="G180" i="20"/>
  <c r="F180" i="20"/>
  <c r="E180" i="20"/>
  <c r="D180" i="20"/>
  <c r="C180" i="20"/>
  <c r="B180" i="20"/>
  <c r="A180" i="20"/>
  <c r="M180" i="20" s="1"/>
  <c r="Y180" i="20" s="1"/>
  <c r="AJ179" i="20"/>
  <c r="AI179" i="20"/>
  <c r="AH179" i="20"/>
  <c r="AG179" i="20"/>
  <c r="AF179" i="20"/>
  <c r="AE179" i="20"/>
  <c r="AD179" i="20"/>
  <c r="AC179" i="20"/>
  <c r="AB179" i="20"/>
  <c r="AA179" i="20"/>
  <c r="Z179" i="20"/>
  <c r="X179" i="20"/>
  <c r="W179" i="20"/>
  <c r="V179" i="20"/>
  <c r="U179" i="20"/>
  <c r="T179" i="20"/>
  <c r="S179" i="20"/>
  <c r="R179" i="20"/>
  <c r="Q179" i="20"/>
  <c r="P179" i="20"/>
  <c r="O179" i="20"/>
  <c r="N179" i="20"/>
  <c r="L179" i="20"/>
  <c r="K179" i="20"/>
  <c r="J179" i="20"/>
  <c r="I179" i="20"/>
  <c r="H179" i="20"/>
  <c r="G179" i="20"/>
  <c r="F179" i="20"/>
  <c r="E179" i="20"/>
  <c r="D179" i="20"/>
  <c r="C179" i="20"/>
  <c r="B179" i="20"/>
  <c r="A179" i="20"/>
  <c r="M179" i="20" s="1"/>
  <c r="Y179" i="20" s="1"/>
  <c r="AJ178" i="20"/>
  <c r="AI178" i="20"/>
  <c r="AH178" i="20"/>
  <c r="AG178" i="20"/>
  <c r="AF178" i="20"/>
  <c r="AE178" i="20"/>
  <c r="AD178" i="20"/>
  <c r="AC178" i="20"/>
  <c r="AB178" i="20"/>
  <c r="AA178" i="20"/>
  <c r="Z178" i="20"/>
  <c r="X178" i="20"/>
  <c r="W178" i="20"/>
  <c r="V178" i="20"/>
  <c r="U178" i="20"/>
  <c r="T178" i="20"/>
  <c r="S178" i="20"/>
  <c r="R178" i="20"/>
  <c r="Q178" i="20"/>
  <c r="P178" i="20"/>
  <c r="O178" i="20"/>
  <c r="N178" i="20"/>
  <c r="L178" i="20"/>
  <c r="K178" i="20"/>
  <c r="J178" i="20"/>
  <c r="I178" i="20"/>
  <c r="H178" i="20"/>
  <c r="G178" i="20"/>
  <c r="F178" i="20"/>
  <c r="E178" i="20"/>
  <c r="D178" i="20"/>
  <c r="C178" i="20"/>
  <c r="B178" i="20"/>
  <c r="A178" i="20"/>
  <c r="M178" i="20" s="1"/>
  <c r="Y178" i="20" s="1"/>
  <c r="AJ177" i="20"/>
  <c r="AI177" i="20"/>
  <c r="AH177" i="20"/>
  <c r="AG177" i="20"/>
  <c r="AF177" i="20"/>
  <c r="AE177" i="20"/>
  <c r="AD177" i="20"/>
  <c r="AC177" i="20"/>
  <c r="AB177" i="20"/>
  <c r="AA177" i="20"/>
  <c r="Z177" i="20"/>
  <c r="X177" i="20"/>
  <c r="W177" i="20"/>
  <c r="V177" i="20"/>
  <c r="U177" i="20"/>
  <c r="T177" i="20"/>
  <c r="S177" i="20"/>
  <c r="R177" i="20"/>
  <c r="Q177" i="20"/>
  <c r="P177" i="20"/>
  <c r="O177" i="20"/>
  <c r="N177" i="20"/>
  <c r="L177" i="20"/>
  <c r="K177" i="20"/>
  <c r="J177" i="20"/>
  <c r="I177" i="20"/>
  <c r="H177" i="20"/>
  <c r="G177" i="20"/>
  <c r="F177" i="20"/>
  <c r="E177" i="20"/>
  <c r="D177" i="20"/>
  <c r="C177" i="20"/>
  <c r="B177" i="20"/>
  <c r="A177" i="20"/>
  <c r="M177" i="20" s="1"/>
  <c r="Y177" i="20" s="1"/>
  <c r="AJ176" i="20"/>
  <c r="AI176" i="20"/>
  <c r="AH176" i="20"/>
  <c r="AG176" i="20"/>
  <c r="AF176" i="20"/>
  <c r="AE176" i="20"/>
  <c r="AD176" i="20"/>
  <c r="AC176" i="20"/>
  <c r="AB176" i="20"/>
  <c r="AA176" i="20"/>
  <c r="Z176" i="20"/>
  <c r="X176" i="20"/>
  <c r="W176" i="20"/>
  <c r="V176" i="20"/>
  <c r="U176" i="20"/>
  <c r="T176" i="20"/>
  <c r="S176" i="20"/>
  <c r="R176" i="20"/>
  <c r="Q176" i="20"/>
  <c r="P176" i="20"/>
  <c r="O176" i="20"/>
  <c r="N176" i="20"/>
  <c r="L176" i="20"/>
  <c r="K176" i="20"/>
  <c r="J176" i="20"/>
  <c r="I176" i="20"/>
  <c r="H176" i="20"/>
  <c r="G176" i="20"/>
  <c r="F176" i="20"/>
  <c r="E176" i="20"/>
  <c r="D176" i="20"/>
  <c r="C176" i="20"/>
  <c r="B176" i="20"/>
  <c r="A176" i="20"/>
  <c r="M176" i="20" s="1"/>
  <c r="Y176" i="20" s="1"/>
  <c r="AJ175" i="20"/>
  <c r="AI175" i="20"/>
  <c r="AH175" i="20"/>
  <c r="AG175" i="20"/>
  <c r="AF175" i="20"/>
  <c r="AE175" i="20"/>
  <c r="AD175" i="20"/>
  <c r="AC175" i="20"/>
  <c r="AB175" i="20"/>
  <c r="AA175" i="20"/>
  <c r="Z175" i="20"/>
  <c r="X175" i="20"/>
  <c r="W175" i="20"/>
  <c r="V175" i="20"/>
  <c r="U175" i="20"/>
  <c r="T175" i="20"/>
  <c r="S175" i="20"/>
  <c r="R175" i="20"/>
  <c r="Q175" i="20"/>
  <c r="P175" i="20"/>
  <c r="O175" i="20"/>
  <c r="N175" i="20"/>
  <c r="L175" i="20"/>
  <c r="K175" i="20"/>
  <c r="J175" i="20"/>
  <c r="I175" i="20"/>
  <c r="H175" i="20"/>
  <c r="G175" i="20"/>
  <c r="F175" i="20"/>
  <c r="E175" i="20"/>
  <c r="D175" i="20"/>
  <c r="C175" i="20"/>
  <c r="B175" i="20"/>
  <c r="A175" i="20"/>
  <c r="M175" i="20" s="1"/>
  <c r="Y175" i="20" s="1"/>
  <c r="AJ174" i="20"/>
  <c r="AI174" i="20"/>
  <c r="AH174" i="20"/>
  <c r="AG174" i="20"/>
  <c r="AF174" i="20"/>
  <c r="AE174" i="20"/>
  <c r="AD174" i="20"/>
  <c r="AC174" i="20"/>
  <c r="AB174" i="20"/>
  <c r="AA174" i="20"/>
  <c r="Z174" i="20"/>
  <c r="X174" i="20"/>
  <c r="W174" i="20"/>
  <c r="V174" i="20"/>
  <c r="U174" i="20"/>
  <c r="T174" i="20"/>
  <c r="S174" i="20"/>
  <c r="R174" i="20"/>
  <c r="Q174" i="20"/>
  <c r="P174" i="20"/>
  <c r="O174" i="20"/>
  <c r="N174" i="20"/>
  <c r="L174" i="20"/>
  <c r="K174" i="20"/>
  <c r="J174" i="20"/>
  <c r="I174" i="20"/>
  <c r="H174" i="20"/>
  <c r="G174" i="20"/>
  <c r="F174" i="20"/>
  <c r="E174" i="20"/>
  <c r="D174" i="20"/>
  <c r="C174" i="20"/>
  <c r="B174" i="20"/>
  <c r="A174" i="20"/>
  <c r="M174" i="20" s="1"/>
  <c r="Y174" i="20" s="1"/>
  <c r="AJ173" i="20"/>
  <c r="AI173" i="20"/>
  <c r="AH173" i="20"/>
  <c r="AG173" i="20"/>
  <c r="AF173" i="20"/>
  <c r="AE173" i="20"/>
  <c r="AD173" i="20"/>
  <c r="AC173" i="20"/>
  <c r="AB173" i="20"/>
  <c r="AA173" i="20"/>
  <c r="Z173" i="20"/>
  <c r="X173" i="20"/>
  <c r="W173" i="20"/>
  <c r="V173" i="20"/>
  <c r="U173" i="20"/>
  <c r="T173" i="20"/>
  <c r="S173" i="20"/>
  <c r="R173" i="20"/>
  <c r="Q173" i="20"/>
  <c r="P173" i="20"/>
  <c r="O173" i="20"/>
  <c r="N173" i="20"/>
  <c r="L173" i="20"/>
  <c r="K173" i="20"/>
  <c r="J173" i="20"/>
  <c r="I173" i="20"/>
  <c r="H173" i="20"/>
  <c r="G173" i="20"/>
  <c r="F173" i="20"/>
  <c r="E173" i="20"/>
  <c r="D173" i="20"/>
  <c r="C173" i="20"/>
  <c r="B173" i="20"/>
  <c r="A173" i="20"/>
  <c r="M173" i="20" s="1"/>
  <c r="Y173" i="20" s="1"/>
  <c r="AJ172" i="20"/>
  <c r="AI172" i="20"/>
  <c r="AH172" i="20"/>
  <c r="AG172" i="20"/>
  <c r="AF172" i="20"/>
  <c r="AE172" i="20"/>
  <c r="AD172" i="20"/>
  <c r="AC172" i="20"/>
  <c r="AB172" i="20"/>
  <c r="AA172" i="20"/>
  <c r="Z172" i="20"/>
  <c r="X172" i="20"/>
  <c r="W172" i="20"/>
  <c r="V172" i="20"/>
  <c r="U172" i="20"/>
  <c r="T172" i="20"/>
  <c r="S172" i="20"/>
  <c r="R172" i="20"/>
  <c r="Q172" i="20"/>
  <c r="P172" i="20"/>
  <c r="O172" i="20"/>
  <c r="N172" i="20"/>
  <c r="L172" i="20"/>
  <c r="K172" i="20"/>
  <c r="J172" i="20"/>
  <c r="I172" i="20"/>
  <c r="H172" i="20"/>
  <c r="G172" i="20"/>
  <c r="F172" i="20"/>
  <c r="E172" i="20"/>
  <c r="D172" i="20"/>
  <c r="C172" i="20"/>
  <c r="B172" i="20"/>
  <c r="A172" i="20"/>
  <c r="M172" i="20" s="1"/>
  <c r="Y172" i="20" s="1"/>
  <c r="AJ171" i="20"/>
  <c r="AI171" i="20"/>
  <c r="AH171" i="20"/>
  <c r="AG171" i="20"/>
  <c r="AF171" i="20"/>
  <c r="AE171" i="20"/>
  <c r="AD171" i="20"/>
  <c r="AC171" i="20"/>
  <c r="AB171" i="20"/>
  <c r="AA171" i="20"/>
  <c r="Z171" i="20"/>
  <c r="X171" i="20"/>
  <c r="W171" i="20"/>
  <c r="V171" i="20"/>
  <c r="U171" i="20"/>
  <c r="T171" i="20"/>
  <c r="S171" i="20"/>
  <c r="R171" i="20"/>
  <c r="Q171" i="20"/>
  <c r="P171" i="20"/>
  <c r="O171" i="20"/>
  <c r="N171" i="20"/>
  <c r="L171" i="20"/>
  <c r="K171" i="20"/>
  <c r="J171" i="20"/>
  <c r="I171" i="20"/>
  <c r="H171" i="20"/>
  <c r="G171" i="20"/>
  <c r="F171" i="20"/>
  <c r="E171" i="20"/>
  <c r="D171" i="20"/>
  <c r="C171" i="20"/>
  <c r="B171" i="20"/>
  <c r="A171" i="20"/>
  <c r="M171" i="20" s="1"/>
  <c r="Y171" i="20" s="1"/>
  <c r="AJ170" i="20"/>
  <c r="AI170" i="20"/>
  <c r="AH170" i="20"/>
  <c r="AG170" i="20"/>
  <c r="AF170" i="20"/>
  <c r="AE170" i="20"/>
  <c r="AD170" i="20"/>
  <c r="AC170" i="20"/>
  <c r="AB170" i="20"/>
  <c r="AA170" i="20"/>
  <c r="Z170" i="20"/>
  <c r="X170" i="20"/>
  <c r="W170" i="20"/>
  <c r="V170" i="20"/>
  <c r="U170" i="20"/>
  <c r="T170" i="20"/>
  <c r="S170" i="20"/>
  <c r="R170" i="20"/>
  <c r="Q170" i="20"/>
  <c r="P170" i="20"/>
  <c r="O170" i="20"/>
  <c r="N170" i="20"/>
  <c r="L170" i="20"/>
  <c r="K170" i="20"/>
  <c r="J170" i="20"/>
  <c r="I170" i="20"/>
  <c r="H170" i="20"/>
  <c r="G170" i="20"/>
  <c r="F170" i="20"/>
  <c r="E170" i="20"/>
  <c r="D170" i="20"/>
  <c r="C170" i="20"/>
  <c r="B170" i="20"/>
  <c r="A170" i="20"/>
  <c r="M170" i="20" s="1"/>
  <c r="Y170" i="20" s="1"/>
  <c r="AJ169" i="20"/>
  <c r="AI169" i="20"/>
  <c r="AH169" i="20"/>
  <c r="AG169" i="20"/>
  <c r="AF169" i="20"/>
  <c r="AE169" i="20"/>
  <c r="AD169" i="20"/>
  <c r="AC169" i="20"/>
  <c r="AB169" i="20"/>
  <c r="AA169" i="20"/>
  <c r="Z169" i="20"/>
  <c r="X169" i="20"/>
  <c r="W169" i="20"/>
  <c r="V169" i="20"/>
  <c r="U169" i="20"/>
  <c r="T169" i="20"/>
  <c r="S169" i="20"/>
  <c r="R169" i="20"/>
  <c r="Q169" i="20"/>
  <c r="P169" i="20"/>
  <c r="O169" i="20"/>
  <c r="N169" i="20"/>
  <c r="L169" i="20"/>
  <c r="K169" i="20"/>
  <c r="J169" i="20"/>
  <c r="I169" i="20"/>
  <c r="H169" i="20"/>
  <c r="G169" i="20"/>
  <c r="F169" i="20"/>
  <c r="E169" i="20"/>
  <c r="D169" i="20"/>
  <c r="C169" i="20"/>
  <c r="B169" i="20"/>
  <c r="A169" i="20"/>
  <c r="M169" i="20" s="1"/>
  <c r="Y169" i="20" s="1"/>
  <c r="AJ168" i="20"/>
  <c r="AI168" i="20"/>
  <c r="AH168" i="20"/>
  <c r="AG168" i="20"/>
  <c r="AF168" i="20"/>
  <c r="AE168" i="20"/>
  <c r="AD168" i="20"/>
  <c r="AC168" i="20"/>
  <c r="AB168" i="20"/>
  <c r="AA168" i="20"/>
  <c r="Z168" i="20"/>
  <c r="X168" i="20"/>
  <c r="W168" i="20"/>
  <c r="V168" i="20"/>
  <c r="U168" i="20"/>
  <c r="T168" i="20"/>
  <c r="S168" i="20"/>
  <c r="R168" i="20"/>
  <c r="Q168" i="20"/>
  <c r="P168" i="20"/>
  <c r="O168" i="20"/>
  <c r="N168" i="20"/>
  <c r="L168" i="20"/>
  <c r="K168" i="20"/>
  <c r="J168" i="20"/>
  <c r="I168" i="20"/>
  <c r="H168" i="20"/>
  <c r="G168" i="20"/>
  <c r="F168" i="20"/>
  <c r="E168" i="20"/>
  <c r="D168" i="20"/>
  <c r="C168" i="20"/>
  <c r="B168" i="20"/>
  <c r="A168" i="20"/>
  <c r="M168" i="20" s="1"/>
  <c r="Y168" i="20" s="1"/>
  <c r="AJ167" i="20"/>
  <c r="AI167" i="20"/>
  <c r="AH167" i="20"/>
  <c r="AG167" i="20"/>
  <c r="AF167" i="20"/>
  <c r="AE167" i="20"/>
  <c r="AD167" i="20"/>
  <c r="AC167" i="20"/>
  <c r="AB167" i="20"/>
  <c r="AA167" i="20"/>
  <c r="Z167" i="20"/>
  <c r="X167" i="20"/>
  <c r="W167" i="20"/>
  <c r="V167" i="20"/>
  <c r="U167" i="20"/>
  <c r="T167" i="20"/>
  <c r="S167" i="20"/>
  <c r="R167" i="20"/>
  <c r="Q167" i="20"/>
  <c r="P167" i="20"/>
  <c r="O167" i="20"/>
  <c r="N167" i="20"/>
  <c r="L167" i="20"/>
  <c r="K167" i="20"/>
  <c r="J167" i="20"/>
  <c r="I167" i="20"/>
  <c r="H167" i="20"/>
  <c r="G167" i="20"/>
  <c r="F167" i="20"/>
  <c r="E167" i="20"/>
  <c r="D167" i="20"/>
  <c r="C167" i="20"/>
  <c r="B167" i="20"/>
  <c r="A167" i="20"/>
  <c r="M167" i="20" s="1"/>
  <c r="Y167" i="20" s="1"/>
  <c r="AJ166" i="20"/>
  <c r="AI166" i="20"/>
  <c r="AH166" i="20"/>
  <c r="AG166" i="20"/>
  <c r="AF166" i="20"/>
  <c r="AE166" i="20"/>
  <c r="AD166" i="20"/>
  <c r="AC166" i="20"/>
  <c r="AB166" i="20"/>
  <c r="AA166" i="20"/>
  <c r="Z166" i="20"/>
  <c r="X166" i="20"/>
  <c r="W166" i="20"/>
  <c r="V166" i="20"/>
  <c r="U166" i="20"/>
  <c r="T166" i="20"/>
  <c r="S166" i="20"/>
  <c r="R166" i="20"/>
  <c r="Q166" i="20"/>
  <c r="P166" i="20"/>
  <c r="O166" i="20"/>
  <c r="N166" i="20"/>
  <c r="L166" i="20"/>
  <c r="K166" i="20"/>
  <c r="J166" i="20"/>
  <c r="I166" i="20"/>
  <c r="H166" i="20"/>
  <c r="G166" i="20"/>
  <c r="F166" i="20"/>
  <c r="E166" i="20"/>
  <c r="D166" i="20"/>
  <c r="C166" i="20"/>
  <c r="B166" i="20"/>
  <c r="A166" i="20"/>
  <c r="M166" i="20" s="1"/>
  <c r="Y166" i="20" s="1"/>
  <c r="AJ165" i="20"/>
  <c r="AI165" i="20"/>
  <c r="AH165" i="20"/>
  <c r="AG165" i="20"/>
  <c r="AF165" i="20"/>
  <c r="AE165" i="20"/>
  <c r="AD165" i="20"/>
  <c r="AC165" i="20"/>
  <c r="AB165" i="20"/>
  <c r="AA165" i="20"/>
  <c r="Z165" i="20"/>
  <c r="X165" i="20"/>
  <c r="W165" i="20"/>
  <c r="V165" i="20"/>
  <c r="U165" i="20"/>
  <c r="T165" i="20"/>
  <c r="S165" i="20"/>
  <c r="R165" i="20"/>
  <c r="Q165" i="20"/>
  <c r="P165" i="20"/>
  <c r="O165" i="20"/>
  <c r="N165" i="20"/>
  <c r="L165" i="20"/>
  <c r="K165" i="20"/>
  <c r="J165" i="20"/>
  <c r="I165" i="20"/>
  <c r="H165" i="20"/>
  <c r="G165" i="20"/>
  <c r="F165" i="20"/>
  <c r="E165" i="20"/>
  <c r="D165" i="20"/>
  <c r="C165" i="20"/>
  <c r="B165" i="20"/>
  <c r="A165" i="20"/>
  <c r="M165" i="20" s="1"/>
  <c r="Y165" i="20" s="1"/>
  <c r="AJ164" i="20"/>
  <c r="AI164" i="20"/>
  <c r="AH164" i="20"/>
  <c r="AG164" i="20"/>
  <c r="AF164" i="20"/>
  <c r="AE164" i="20"/>
  <c r="AD164" i="20"/>
  <c r="AC164" i="20"/>
  <c r="AB164" i="20"/>
  <c r="AA164" i="20"/>
  <c r="Z164" i="20"/>
  <c r="X164" i="20"/>
  <c r="W164" i="20"/>
  <c r="V164" i="20"/>
  <c r="U164" i="20"/>
  <c r="T164" i="20"/>
  <c r="S164" i="20"/>
  <c r="R164" i="20"/>
  <c r="Q164" i="20"/>
  <c r="P164" i="20"/>
  <c r="O164" i="20"/>
  <c r="N164" i="20"/>
  <c r="L164" i="20"/>
  <c r="K164" i="20"/>
  <c r="J164" i="20"/>
  <c r="I164" i="20"/>
  <c r="H164" i="20"/>
  <c r="G164" i="20"/>
  <c r="F164" i="20"/>
  <c r="E164" i="20"/>
  <c r="D164" i="20"/>
  <c r="C164" i="20"/>
  <c r="B164" i="20"/>
  <c r="A164" i="20"/>
  <c r="M164" i="20" s="1"/>
  <c r="Y164" i="20" s="1"/>
  <c r="AJ163" i="20"/>
  <c r="AI163" i="20"/>
  <c r="AH163" i="20"/>
  <c r="AG163" i="20"/>
  <c r="AF163" i="20"/>
  <c r="AE163" i="20"/>
  <c r="AD163" i="20"/>
  <c r="AC163" i="20"/>
  <c r="AB163" i="20"/>
  <c r="AA163" i="20"/>
  <c r="Z163" i="20"/>
  <c r="X163" i="20"/>
  <c r="W163" i="20"/>
  <c r="V163" i="20"/>
  <c r="U163" i="20"/>
  <c r="T163" i="20"/>
  <c r="S163" i="20"/>
  <c r="R163" i="20"/>
  <c r="Q163" i="20"/>
  <c r="P163" i="20"/>
  <c r="O163" i="20"/>
  <c r="N163" i="20"/>
  <c r="L163" i="20"/>
  <c r="K163" i="20"/>
  <c r="J163" i="20"/>
  <c r="I163" i="20"/>
  <c r="H163" i="20"/>
  <c r="G163" i="20"/>
  <c r="F163" i="20"/>
  <c r="E163" i="20"/>
  <c r="D163" i="20"/>
  <c r="C163" i="20"/>
  <c r="B163" i="20"/>
  <c r="A163" i="20"/>
  <c r="M163" i="20" s="1"/>
  <c r="Y163" i="20" s="1"/>
  <c r="AJ162" i="20"/>
  <c r="AI162" i="20"/>
  <c r="AH162" i="20"/>
  <c r="AG162" i="20"/>
  <c r="AF162" i="20"/>
  <c r="AE162" i="20"/>
  <c r="AD162" i="20"/>
  <c r="AC162" i="20"/>
  <c r="AB162" i="20"/>
  <c r="AA162" i="20"/>
  <c r="Z162" i="20"/>
  <c r="X162" i="20"/>
  <c r="W162" i="20"/>
  <c r="V162" i="20"/>
  <c r="U162" i="20"/>
  <c r="T162" i="20"/>
  <c r="S162" i="20"/>
  <c r="R162" i="20"/>
  <c r="Q162" i="20"/>
  <c r="P162" i="20"/>
  <c r="O162" i="20"/>
  <c r="N162" i="20"/>
  <c r="L162" i="20"/>
  <c r="K162" i="20"/>
  <c r="J162" i="20"/>
  <c r="I162" i="20"/>
  <c r="H162" i="20"/>
  <c r="G162" i="20"/>
  <c r="F162" i="20"/>
  <c r="E162" i="20"/>
  <c r="D162" i="20"/>
  <c r="C162" i="20"/>
  <c r="B162" i="20"/>
  <c r="A162" i="20"/>
  <c r="M162" i="20" s="1"/>
  <c r="Y162" i="20" s="1"/>
  <c r="AJ161" i="20"/>
  <c r="AI161" i="20"/>
  <c r="AH161" i="20"/>
  <c r="AG161" i="20"/>
  <c r="AF161" i="20"/>
  <c r="AE161" i="20"/>
  <c r="AD161" i="20"/>
  <c r="AC161" i="20"/>
  <c r="AB161" i="20"/>
  <c r="AA161" i="20"/>
  <c r="Z161" i="20"/>
  <c r="X161" i="20"/>
  <c r="W161" i="20"/>
  <c r="V161" i="20"/>
  <c r="U161" i="20"/>
  <c r="T161" i="20"/>
  <c r="S161" i="20"/>
  <c r="R161" i="20"/>
  <c r="Q161" i="20"/>
  <c r="P161" i="20"/>
  <c r="O161" i="20"/>
  <c r="N161" i="20"/>
  <c r="L161" i="20"/>
  <c r="K161" i="20"/>
  <c r="J161" i="20"/>
  <c r="I161" i="20"/>
  <c r="H161" i="20"/>
  <c r="G161" i="20"/>
  <c r="F161" i="20"/>
  <c r="E161" i="20"/>
  <c r="D161" i="20"/>
  <c r="C161" i="20"/>
  <c r="B161" i="20"/>
  <c r="A161" i="20"/>
  <c r="M161" i="20" s="1"/>
  <c r="Y161" i="20" s="1"/>
  <c r="AJ160" i="20"/>
  <c r="AI160" i="20"/>
  <c r="AH160" i="20"/>
  <c r="AG160" i="20"/>
  <c r="AF160" i="20"/>
  <c r="AE160" i="20"/>
  <c r="AD160" i="20"/>
  <c r="AC160" i="20"/>
  <c r="AB160" i="20"/>
  <c r="AA160" i="20"/>
  <c r="Z160" i="20"/>
  <c r="X160" i="20"/>
  <c r="W160" i="20"/>
  <c r="V160" i="20"/>
  <c r="U160" i="20"/>
  <c r="T160" i="20"/>
  <c r="S160" i="20"/>
  <c r="R160" i="20"/>
  <c r="Q160" i="20"/>
  <c r="P160" i="20"/>
  <c r="O160" i="20"/>
  <c r="N160" i="20"/>
  <c r="L160" i="20"/>
  <c r="K160" i="20"/>
  <c r="J160" i="20"/>
  <c r="I160" i="20"/>
  <c r="H160" i="20"/>
  <c r="G160" i="20"/>
  <c r="F160" i="20"/>
  <c r="E160" i="20"/>
  <c r="D160" i="20"/>
  <c r="C160" i="20"/>
  <c r="B160" i="20"/>
  <c r="A160" i="20"/>
  <c r="M160" i="20" s="1"/>
  <c r="Y160" i="20" s="1"/>
  <c r="AJ159" i="20"/>
  <c r="AI159" i="20"/>
  <c r="AH159" i="20"/>
  <c r="AG159" i="20"/>
  <c r="AF159" i="20"/>
  <c r="AE159" i="20"/>
  <c r="AD159" i="20"/>
  <c r="AC159" i="20"/>
  <c r="AB159" i="20"/>
  <c r="AA159" i="20"/>
  <c r="Z159" i="20"/>
  <c r="X159" i="20"/>
  <c r="W159" i="20"/>
  <c r="V159" i="20"/>
  <c r="U159" i="20"/>
  <c r="T159" i="20"/>
  <c r="S159" i="20"/>
  <c r="R159" i="20"/>
  <c r="Q159" i="20"/>
  <c r="P159" i="20"/>
  <c r="O159" i="20"/>
  <c r="N159" i="20"/>
  <c r="L159" i="20"/>
  <c r="K159" i="20"/>
  <c r="J159" i="20"/>
  <c r="I159" i="20"/>
  <c r="H159" i="20"/>
  <c r="G159" i="20"/>
  <c r="F159" i="20"/>
  <c r="E159" i="20"/>
  <c r="D159" i="20"/>
  <c r="C159" i="20"/>
  <c r="B159" i="20"/>
  <c r="A159" i="20"/>
  <c r="M159" i="20" s="1"/>
  <c r="Y159" i="20" s="1"/>
  <c r="AJ158" i="20"/>
  <c r="AI158" i="20"/>
  <c r="AH158" i="20"/>
  <c r="AG158" i="20"/>
  <c r="AF158" i="20"/>
  <c r="AE158" i="20"/>
  <c r="AD158" i="20"/>
  <c r="AC158" i="20"/>
  <c r="AB158" i="20"/>
  <c r="AA158" i="20"/>
  <c r="Z158" i="20"/>
  <c r="X158" i="20"/>
  <c r="W158" i="20"/>
  <c r="V158" i="20"/>
  <c r="U158" i="20"/>
  <c r="T158" i="20"/>
  <c r="S158" i="20"/>
  <c r="R158" i="20"/>
  <c r="Q158" i="20"/>
  <c r="P158" i="20"/>
  <c r="O158" i="20"/>
  <c r="N158" i="20"/>
  <c r="L158" i="20"/>
  <c r="K158" i="20"/>
  <c r="J158" i="20"/>
  <c r="I158" i="20"/>
  <c r="H158" i="20"/>
  <c r="G158" i="20"/>
  <c r="F158" i="20"/>
  <c r="E158" i="20"/>
  <c r="D158" i="20"/>
  <c r="C158" i="20"/>
  <c r="B158" i="20"/>
  <c r="A158" i="20"/>
  <c r="M158" i="20" s="1"/>
  <c r="Y158" i="20" s="1"/>
  <c r="AJ157" i="20"/>
  <c r="AI157" i="20"/>
  <c r="AH157" i="20"/>
  <c r="AG157" i="20"/>
  <c r="AF157" i="20"/>
  <c r="AE157" i="20"/>
  <c r="AD157" i="20"/>
  <c r="AC157" i="20"/>
  <c r="AB157" i="20"/>
  <c r="AA157" i="20"/>
  <c r="Z157" i="20"/>
  <c r="X157" i="20"/>
  <c r="W157" i="20"/>
  <c r="V157" i="20"/>
  <c r="U157" i="20"/>
  <c r="T157" i="20"/>
  <c r="S157" i="20"/>
  <c r="R157" i="20"/>
  <c r="Q157" i="20"/>
  <c r="P157" i="20"/>
  <c r="O157" i="20"/>
  <c r="N157" i="20"/>
  <c r="L157" i="20"/>
  <c r="K157" i="20"/>
  <c r="J157" i="20"/>
  <c r="I157" i="20"/>
  <c r="H157" i="20"/>
  <c r="G157" i="20"/>
  <c r="F157" i="20"/>
  <c r="E157" i="20"/>
  <c r="D157" i="20"/>
  <c r="C157" i="20"/>
  <c r="B157" i="20"/>
  <c r="A157" i="20"/>
  <c r="M157" i="20" s="1"/>
  <c r="Y157" i="20" s="1"/>
  <c r="AJ156" i="20"/>
  <c r="AI156" i="20"/>
  <c r="AH156" i="20"/>
  <c r="AG156" i="20"/>
  <c r="AF156" i="20"/>
  <c r="AE156" i="20"/>
  <c r="AD156" i="20"/>
  <c r="AC156" i="20"/>
  <c r="AB156" i="20"/>
  <c r="AA156" i="20"/>
  <c r="Z156" i="20"/>
  <c r="X156" i="20"/>
  <c r="W156" i="20"/>
  <c r="V156" i="20"/>
  <c r="U156" i="20"/>
  <c r="T156" i="20"/>
  <c r="S156" i="20"/>
  <c r="R156" i="20"/>
  <c r="Q156" i="20"/>
  <c r="P156" i="20"/>
  <c r="O156" i="20"/>
  <c r="N156" i="20"/>
  <c r="L156" i="20"/>
  <c r="K156" i="20"/>
  <c r="J156" i="20"/>
  <c r="I156" i="20"/>
  <c r="H156" i="20"/>
  <c r="G156" i="20"/>
  <c r="F156" i="20"/>
  <c r="E156" i="20"/>
  <c r="D156" i="20"/>
  <c r="C156" i="20"/>
  <c r="B156" i="20"/>
  <c r="A156" i="20"/>
  <c r="M156" i="20" s="1"/>
  <c r="Y156" i="20" s="1"/>
  <c r="AJ155" i="20"/>
  <c r="AI155" i="20"/>
  <c r="AH155" i="20"/>
  <c r="AG155" i="20"/>
  <c r="AF155" i="20"/>
  <c r="AE155" i="20"/>
  <c r="AD155" i="20"/>
  <c r="AC155" i="20"/>
  <c r="AB155" i="20"/>
  <c r="AA155" i="20"/>
  <c r="Z155" i="20"/>
  <c r="X155" i="20"/>
  <c r="W155" i="20"/>
  <c r="V155" i="20"/>
  <c r="U155" i="20"/>
  <c r="T155" i="20"/>
  <c r="S155" i="20"/>
  <c r="R155" i="20"/>
  <c r="Q155" i="20"/>
  <c r="P155" i="20"/>
  <c r="O155" i="20"/>
  <c r="N155" i="20"/>
  <c r="L155" i="20"/>
  <c r="K155" i="20"/>
  <c r="J155" i="20"/>
  <c r="I155" i="20"/>
  <c r="H155" i="20"/>
  <c r="G155" i="20"/>
  <c r="F155" i="20"/>
  <c r="E155" i="20"/>
  <c r="D155" i="20"/>
  <c r="C155" i="20"/>
  <c r="B155" i="20"/>
  <c r="A155" i="20"/>
  <c r="M155" i="20" s="1"/>
  <c r="Y155" i="20" s="1"/>
  <c r="AJ154" i="20"/>
  <c r="AI154" i="20"/>
  <c r="AH154" i="20"/>
  <c r="AG154" i="20"/>
  <c r="AF154" i="20"/>
  <c r="AE154" i="20"/>
  <c r="AD154" i="20"/>
  <c r="AC154" i="20"/>
  <c r="AB154" i="20"/>
  <c r="AA154" i="20"/>
  <c r="Z154" i="20"/>
  <c r="X154" i="20"/>
  <c r="W154" i="20"/>
  <c r="V154" i="20"/>
  <c r="U154" i="20"/>
  <c r="T154" i="20"/>
  <c r="S154" i="20"/>
  <c r="R154" i="20"/>
  <c r="Q154" i="20"/>
  <c r="P154" i="20"/>
  <c r="O154" i="20"/>
  <c r="N154" i="20"/>
  <c r="L154" i="20"/>
  <c r="K154" i="20"/>
  <c r="J154" i="20"/>
  <c r="I154" i="20"/>
  <c r="H154" i="20"/>
  <c r="G154" i="20"/>
  <c r="F154" i="20"/>
  <c r="E154" i="20"/>
  <c r="D154" i="20"/>
  <c r="C154" i="20"/>
  <c r="B154" i="20"/>
  <c r="A154" i="20"/>
  <c r="M154" i="20" s="1"/>
  <c r="Y154" i="20" s="1"/>
  <c r="AJ153" i="20"/>
  <c r="AI153" i="20"/>
  <c r="AH153" i="20"/>
  <c r="AG153" i="20"/>
  <c r="AF153" i="20"/>
  <c r="AE153" i="20"/>
  <c r="AD153" i="20"/>
  <c r="AC153" i="20"/>
  <c r="AB153" i="20"/>
  <c r="AA153" i="20"/>
  <c r="Z153" i="20"/>
  <c r="X153" i="20"/>
  <c r="W153" i="20"/>
  <c r="V153" i="20"/>
  <c r="U153" i="20"/>
  <c r="T153" i="20"/>
  <c r="S153" i="20"/>
  <c r="R153" i="20"/>
  <c r="Q153" i="20"/>
  <c r="P153" i="20"/>
  <c r="O153" i="20"/>
  <c r="N153" i="20"/>
  <c r="L153" i="20"/>
  <c r="K153" i="20"/>
  <c r="J153" i="20"/>
  <c r="I153" i="20"/>
  <c r="H153" i="20"/>
  <c r="G153" i="20"/>
  <c r="F153" i="20"/>
  <c r="E153" i="20"/>
  <c r="D153" i="20"/>
  <c r="C153" i="20"/>
  <c r="B153" i="20"/>
  <c r="A153" i="20"/>
  <c r="M153" i="20" s="1"/>
  <c r="Y153" i="20" s="1"/>
  <c r="AJ152" i="20"/>
  <c r="AI152" i="20"/>
  <c r="AH152" i="20"/>
  <c r="AG152" i="20"/>
  <c r="AF152" i="20"/>
  <c r="AE152" i="20"/>
  <c r="AD152" i="20"/>
  <c r="AC152" i="20"/>
  <c r="AB152" i="20"/>
  <c r="AA152" i="20"/>
  <c r="Z152" i="20"/>
  <c r="X152" i="20"/>
  <c r="W152" i="20"/>
  <c r="V152" i="20"/>
  <c r="U152" i="20"/>
  <c r="T152" i="20"/>
  <c r="S152" i="20"/>
  <c r="R152" i="20"/>
  <c r="Q152" i="20"/>
  <c r="P152" i="20"/>
  <c r="O152" i="20"/>
  <c r="N152" i="20"/>
  <c r="L152" i="20"/>
  <c r="K152" i="20"/>
  <c r="J152" i="20"/>
  <c r="I152" i="20"/>
  <c r="H152" i="20"/>
  <c r="G152" i="20"/>
  <c r="F152" i="20"/>
  <c r="E152" i="20"/>
  <c r="D152" i="20"/>
  <c r="C152" i="20"/>
  <c r="B152" i="20"/>
  <c r="A152" i="20"/>
  <c r="M152" i="20" s="1"/>
  <c r="Y152" i="20" s="1"/>
  <c r="AJ151" i="20"/>
  <c r="AI151" i="20"/>
  <c r="AH151" i="20"/>
  <c r="AG151" i="20"/>
  <c r="AF151" i="20"/>
  <c r="AE151" i="20"/>
  <c r="AD151" i="20"/>
  <c r="AC151" i="20"/>
  <c r="AB151" i="20"/>
  <c r="AA151" i="20"/>
  <c r="Z151" i="20"/>
  <c r="X151" i="20"/>
  <c r="W151" i="20"/>
  <c r="V151" i="20"/>
  <c r="U151" i="20"/>
  <c r="T151" i="20"/>
  <c r="S151" i="20"/>
  <c r="R151" i="20"/>
  <c r="Q151" i="20"/>
  <c r="P151" i="20"/>
  <c r="O151" i="20"/>
  <c r="N151" i="20"/>
  <c r="L151" i="20"/>
  <c r="K151" i="20"/>
  <c r="J151" i="20"/>
  <c r="I151" i="20"/>
  <c r="H151" i="20"/>
  <c r="G151" i="20"/>
  <c r="F151" i="20"/>
  <c r="E151" i="20"/>
  <c r="D151" i="20"/>
  <c r="C151" i="20"/>
  <c r="B151" i="20"/>
  <c r="A151" i="20"/>
  <c r="M151" i="20" s="1"/>
  <c r="Y151" i="20" s="1"/>
  <c r="AJ150" i="20"/>
  <c r="AI150" i="20"/>
  <c r="AH150" i="20"/>
  <c r="AG150" i="20"/>
  <c r="AF150" i="20"/>
  <c r="AE150" i="20"/>
  <c r="AD150" i="20"/>
  <c r="AC150" i="20"/>
  <c r="AB150" i="20"/>
  <c r="AA150" i="20"/>
  <c r="Z150" i="20"/>
  <c r="X150" i="20"/>
  <c r="W150" i="20"/>
  <c r="V150" i="20"/>
  <c r="U150" i="20"/>
  <c r="T150" i="20"/>
  <c r="S150" i="20"/>
  <c r="R150" i="20"/>
  <c r="Q150" i="20"/>
  <c r="P150" i="20"/>
  <c r="O150" i="20"/>
  <c r="N150" i="20"/>
  <c r="L150" i="20"/>
  <c r="K150" i="20"/>
  <c r="J150" i="20"/>
  <c r="I150" i="20"/>
  <c r="H150" i="20"/>
  <c r="G150" i="20"/>
  <c r="F150" i="20"/>
  <c r="E150" i="20"/>
  <c r="D150" i="20"/>
  <c r="C150" i="20"/>
  <c r="B150" i="20"/>
  <c r="A150" i="20"/>
  <c r="M150" i="20" s="1"/>
  <c r="Y150" i="20" s="1"/>
  <c r="AJ149" i="20"/>
  <c r="AI149" i="20"/>
  <c r="AH149" i="20"/>
  <c r="AG149" i="20"/>
  <c r="AF149" i="20"/>
  <c r="AE149" i="20"/>
  <c r="AD149" i="20"/>
  <c r="AC149" i="20"/>
  <c r="AB149" i="20"/>
  <c r="AA149" i="20"/>
  <c r="Z149" i="20"/>
  <c r="X149" i="20"/>
  <c r="W149" i="20"/>
  <c r="V149" i="20"/>
  <c r="U149" i="20"/>
  <c r="T149" i="20"/>
  <c r="S149" i="20"/>
  <c r="R149" i="20"/>
  <c r="Q149" i="20"/>
  <c r="P149" i="20"/>
  <c r="O149" i="20"/>
  <c r="N149" i="20"/>
  <c r="L149" i="20"/>
  <c r="K149" i="20"/>
  <c r="J149" i="20"/>
  <c r="I149" i="20"/>
  <c r="H149" i="20"/>
  <c r="G149" i="20"/>
  <c r="F149" i="20"/>
  <c r="E149" i="20"/>
  <c r="D149" i="20"/>
  <c r="C149" i="20"/>
  <c r="B149" i="20"/>
  <c r="A149" i="20"/>
  <c r="M149" i="20" s="1"/>
  <c r="Y149" i="20" s="1"/>
  <c r="AJ148" i="20"/>
  <c r="AI148" i="20"/>
  <c r="AH148" i="20"/>
  <c r="AG148" i="20"/>
  <c r="AF148" i="20"/>
  <c r="AE148" i="20"/>
  <c r="AD148" i="20"/>
  <c r="AC148" i="20"/>
  <c r="AB148" i="20"/>
  <c r="AA148" i="20"/>
  <c r="Z148" i="20"/>
  <c r="X148" i="20"/>
  <c r="W148" i="20"/>
  <c r="V148" i="20"/>
  <c r="U148" i="20"/>
  <c r="T148" i="20"/>
  <c r="S148" i="20"/>
  <c r="R148" i="20"/>
  <c r="Q148" i="20"/>
  <c r="P148" i="20"/>
  <c r="O148" i="20"/>
  <c r="N148" i="20"/>
  <c r="L148" i="20"/>
  <c r="K148" i="20"/>
  <c r="J148" i="20"/>
  <c r="I148" i="20"/>
  <c r="H148" i="20"/>
  <c r="G148" i="20"/>
  <c r="F148" i="20"/>
  <c r="E148" i="20"/>
  <c r="D148" i="20"/>
  <c r="C148" i="20"/>
  <c r="B148" i="20"/>
  <c r="A148" i="20"/>
  <c r="M148" i="20" s="1"/>
  <c r="Y148" i="20" s="1"/>
  <c r="AJ147" i="20"/>
  <c r="AI147" i="20"/>
  <c r="AH147" i="20"/>
  <c r="AG147" i="20"/>
  <c r="AF147" i="20"/>
  <c r="AE147" i="20"/>
  <c r="AD147" i="20"/>
  <c r="AC147" i="20"/>
  <c r="AB147" i="20"/>
  <c r="AA147" i="20"/>
  <c r="Z147" i="20"/>
  <c r="X147" i="20"/>
  <c r="W147" i="20"/>
  <c r="V147" i="20"/>
  <c r="U147" i="20"/>
  <c r="T147" i="20"/>
  <c r="S147" i="20"/>
  <c r="R147" i="20"/>
  <c r="Q147" i="20"/>
  <c r="P147" i="20"/>
  <c r="O147" i="20"/>
  <c r="N147" i="20"/>
  <c r="L147" i="20"/>
  <c r="K147" i="20"/>
  <c r="J147" i="20"/>
  <c r="I147" i="20"/>
  <c r="H147" i="20"/>
  <c r="G147" i="20"/>
  <c r="F147" i="20"/>
  <c r="E147" i="20"/>
  <c r="D147" i="20"/>
  <c r="C147" i="20"/>
  <c r="B147" i="20"/>
  <c r="A147" i="20"/>
  <c r="M147" i="20" s="1"/>
  <c r="Y147" i="20" s="1"/>
  <c r="AJ146" i="20"/>
  <c r="AI146" i="20"/>
  <c r="AH146" i="20"/>
  <c r="AG146" i="20"/>
  <c r="AF146" i="20"/>
  <c r="AE146" i="20"/>
  <c r="AD146" i="20"/>
  <c r="AC146" i="20"/>
  <c r="AB146" i="20"/>
  <c r="AA146" i="20"/>
  <c r="Z146" i="20"/>
  <c r="X146" i="20"/>
  <c r="W146" i="20"/>
  <c r="V146" i="20"/>
  <c r="U146" i="20"/>
  <c r="T146" i="20"/>
  <c r="S146" i="20"/>
  <c r="R146" i="20"/>
  <c r="Q146" i="20"/>
  <c r="P146" i="20"/>
  <c r="O146" i="20"/>
  <c r="N146" i="20"/>
  <c r="L146" i="20"/>
  <c r="K146" i="20"/>
  <c r="J146" i="20"/>
  <c r="I146" i="20"/>
  <c r="H146" i="20"/>
  <c r="G146" i="20"/>
  <c r="F146" i="20"/>
  <c r="E146" i="20"/>
  <c r="D146" i="20"/>
  <c r="C146" i="20"/>
  <c r="B146" i="20"/>
  <c r="A146" i="20"/>
  <c r="M146" i="20" s="1"/>
  <c r="Y146" i="20" s="1"/>
  <c r="AJ145" i="20"/>
  <c r="AI145" i="20"/>
  <c r="AH145" i="20"/>
  <c r="AG145" i="20"/>
  <c r="AF145" i="20"/>
  <c r="AE145" i="20"/>
  <c r="AD145" i="20"/>
  <c r="AC145" i="20"/>
  <c r="AB145" i="20"/>
  <c r="AA145" i="20"/>
  <c r="Z145" i="20"/>
  <c r="X145" i="20"/>
  <c r="W145" i="20"/>
  <c r="V145" i="20"/>
  <c r="U145" i="20"/>
  <c r="T145" i="20"/>
  <c r="S145" i="20"/>
  <c r="R145" i="20"/>
  <c r="Q145" i="20"/>
  <c r="P145" i="20"/>
  <c r="O145" i="20"/>
  <c r="N145" i="20"/>
  <c r="L145" i="20"/>
  <c r="K145" i="20"/>
  <c r="J145" i="20"/>
  <c r="I145" i="20"/>
  <c r="H145" i="20"/>
  <c r="G145" i="20"/>
  <c r="F145" i="20"/>
  <c r="E145" i="20"/>
  <c r="D145" i="20"/>
  <c r="C145" i="20"/>
  <c r="B145" i="20"/>
  <c r="A145" i="20"/>
  <c r="M145" i="20" s="1"/>
  <c r="Y145" i="20" s="1"/>
  <c r="AJ144" i="20"/>
  <c r="AI144" i="20"/>
  <c r="AH144" i="20"/>
  <c r="AG144" i="20"/>
  <c r="AF144" i="20"/>
  <c r="AE144" i="20"/>
  <c r="AD144" i="20"/>
  <c r="AC144" i="20"/>
  <c r="AB144" i="20"/>
  <c r="AA144" i="20"/>
  <c r="Z144" i="20"/>
  <c r="X144" i="20"/>
  <c r="W144" i="20"/>
  <c r="V144" i="20"/>
  <c r="U144" i="20"/>
  <c r="T144" i="20"/>
  <c r="S144" i="20"/>
  <c r="R144" i="20"/>
  <c r="Q144" i="20"/>
  <c r="P144" i="20"/>
  <c r="O144" i="20"/>
  <c r="N144" i="20"/>
  <c r="L144" i="20"/>
  <c r="K144" i="20"/>
  <c r="J144" i="20"/>
  <c r="I144" i="20"/>
  <c r="H144" i="20"/>
  <c r="G144" i="20"/>
  <c r="F144" i="20"/>
  <c r="E144" i="20"/>
  <c r="D144" i="20"/>
  <c r="C144" i="20"/>
  <c r="B144" i="20"/>
  <c r="A144" i="20"/>
  <c r="M144" i="20" s="1"/>
  <c r="Y144" i="20" s="1"/>
  <c r="AJ143" i="20"/>
  <c r="AI143" i="20"/>
  <c r="AH143" i="20"/>
  <c r="AG143" i="20"/>
  <c r="AF143" i="20"/>
  <c r="AE143" i="20"/>
  <c r="AD143" i="20"/>
  <c r="AC143" i="20"/>
  <c r="AB143" i="20"/>
  <c r="AA143" i="20"/>
  <c r="Z143" i="20"/>
  <c r="X143" i="20"/>
  <c r="W143" i="20"/>
  <c r="V143" i="20"/>
  <c r="U143" i="20"/>
  <c r="T143" i="20"/>
  <c r="S143" i="20"/>
  <c r="R143" i="20"/>
  <c r="Q143" i="20"/>
  <c r="P143" i="20"/>
  <c r="O143" i="20"/>
  <c r="N143" i="20"/>
  <c r="L143" i="20"/>
  <c r="K143" i="20"/>
  <c r="J143" i="20"/>
  <c r="I143" i="20"/>
  <c r="H143" i="20"/>
  <c r="G143" i="20"/>
  <c r="F143" i="20"/>
  <c r="E143" i="20"/>
  <c r="D143" i="20"/>
  <c r="C143" i="20"/>
  <c r="B143" i="20"/>
  <c r="A143" i="20"/>
  <c r="M143" i="20" s="1"/>
  <c r="Y143" i="20" s="1"/>
  <c r="AJ142" i="20"/>
  <c r="AI142" i="20"/>
  <c r="AH142" i="20"/>
  <c r="AG142" i="20"/>
  <c r="AF142" i="20"/>
  <c r="AE142" i="20"/>
  <c r="AD142" i="20"/>
  <c r="AC142" i="20"/>
  <c r="AB142" i="20"/>
  <c r="AA142" i="20"/>
  <c r="Z142" i="20"/>
  <c r="X142" i="20"/>
  <c r="W142" i="20"/>
  <c r="V142" i="20"/>
  <c r="U142" i="20"/>
  <c r="T142" i="20"/>
  <c r="S142" i="20"/>
  <c r="R142" i="20"/>
  <c r="Q142" i="20"/>
  <c r="P142" i="20"/>
  <c r="O142" i="20"/>
  <c r="N142" i="20"/>
  <c r="L142" i="20"/>
  <c r="K142" i="20"/>
  <c r="J142" i="20"/>
  <c r="I142" i="20"/>
  <c r="H142" i="20"/>
  <c r="G142" i="20"/>
  <c r="F142" i="20"/>
  <c r="E142" i="20"/>
  <c r="D142" i="20"/>
  <c r="C142" i="20"/>
  <c r="B142" i="20"/>
  <c r="A142" i="20"/>
  <c r="M142" i="20" s="1"/>
  <c r="Y142" i="20" s="1"/>
  <c r="AJ141" i="20"/>
  <c r="AI141" i="20"/>
  <c r="AH141" i="20"/>
  <c r="AG141" i="20"/>
  <c r="AF141" i="20"/>
  <c r="AE141" i="20"/>
  <c r="AD141" i="20"/>
  <c r="AC141" i="20"/>
  <c r="AB141" i="20"/>
  <c r="AA141" i="20"/>
  <c r="Z141" i="20"/>
  <c r="X141" i="20"/>
  <c r="W141" i="20"/>
  <c r="V141" i="20"/>
  <c r="U141" i="20"/>
  <c r="T141" i="20"/>
  <c r="S141" i="20"/>
  <c r="R141" i="20"/>
  <c r="Q141" i="20"/>
  <c r="P141" i="20"/>
  <c r="O141" i="20"/>
  <c r="N141" i="20"/>
  <c r="L141" i="20"/>
  <c r="K141" i="20"/>
  <c r="J141" i="20"/>
  <c r="I141" i="20"/>
  <c r="H141" i="20"/>
  <c r="G141" i="20"/>
  <c r="F141" i="20"/>
  <c r="E141" i="20"/>
  <c r="D141" i="20"/>
  <c r="C141" i="20"/>
  <c r="B141" i="20"/>
  <c r="A141" i="20"/>
  <c r="M141" i="20" s="1"/>
  <c r="Y141" i="20" s="1"/>
  <c r="AJ140" i="20"/>
  <c r="AI140" i="20"/>
  <c r="AH140" i="20"/>
  <c r="AG140" i="20"/>
  <c r="AF140" i="20"/>
  <c r="AE140" i="20"/>
  <c r="AD140" i="20"/>
  <c r="AC140" i="20"/>
  <c r="AB140" i="20"/>
  <c r="AA140" i="20"/>
  <c r="Z140" i="20"/>
  <c r="X140" i="20"/>
  <c r="W140" i="20"/>
  <c r="V140" i="20"/>
  <c r="U140" i="20"/>
  <c r="T140" i="20"/>
  <c r="S140" i="20"/>
  <c r="R140" i="20"/>
  <c r="Q140" i="20"/>
  <c r="P140" i="20"/>
  <c r="O140" i="20"/>
  <c r="N140" i="20"/>
  <c r="L140" i="20"/>
  <c r="K140" i="20"/>
  <c r="J140" i="20"/>
  <c r="I140" i="20"/>
  <c r="H140" i="20"/>
  <c r="G140" i="20"/>
  <c r="F140" i="20"/>
  <c r="E140" i="20"/>
  <c r="D140" i="20"/>
  <c r="C140" i="20"/>
  <c r="B140" i="20"/>
  <c r="A140" i="20"/>
  <c r="M140" i="20" s="1"/>
  <c r="Y140" i="20" s="1"/>
  <c r="AJ139" i="20"/>
  <c r="AI139" i="20"/>
  <c r="AH139" i="20"/>
  <c r="AG139" i="20"/>
  <c r="AF139" i="20"/>
  <c r="AE139" i="20"/>
  <c r="AD139" i="20"/>
  <c r="AC139" i="20"/>
  <c r="AB139" i="20"/>
  <c r="AA139" i="20"/>
  <c r="Z139" i="20"/>
  <c r="X139" i="20"/>
  <c r="W139" i="20"/>
  <c r="V139" i="20"/>
  <c r="U139" i="20"/>
  <c r="T139" i="20"/>
  <c r="S139" i="20"/>
  <c r="R139" i="20"/>
  <c r="Q139" i="20"/>
  <c r="P139" i="20"/>
  <c r="O139" i="20"/>
  <c r="N139" i="20"/>
  <c r="L139" i="20"/>
  <c r="K139" i="20"/>
  <c r="J139" i="20"/>
  <c r="I139" i="20"/>
  <c r="H139" i="20"/>
  <c r="G139" i="20"/>
  <c r="F139" i="20"/>
  <c r="E139" i="20"/>
  <c r="D139" i="20"/>
  <c r="C139" i="20"/>
  <c r="B139" i="20"/>
  <c r="A139" i="20"/>
  <c r="M139" i="20" s="1"/>
  <c r="Y139" i="20" s="1"/>
  <c r="AJ138" i="20"/>
  <c r="AI138" i="20"/>
  <c r="AH138" i="20"/>
  <c r="AG138" i="20"/>
  <c r="AF138" i="20"/>
  <c r="AE138" i="20"/>
  <c r="AD138" i="20"/>
  <c r="AC138" i="20"/>
  <c r="AB138" i="20"/>
  <c r="AA138" i="20"/>
  <c r="Z138" i="20"/>
  <c r="X138" i="20"/>
  <c r="W138" i="20"/>
  <c r="V138" i="20"/>
  <c r="U138" i="20"/>
  <c r="T138" i="20"/>
  <c r="S138" i="20"/>
  <c r="R138" i="20"/>
  <c r="Q138" i="20"/>
  <c r="P138" i="20"/>
  <c r="O138" i="20"/>
  <c r="N138" i="20"/>
  <c r="L138" i="20"/>
  <c r="K138" i="20"/>
  <c r="J138" i="20"/>
  <c r="I138" i="20"/>
  <c r="H138" i="20"/>
  <c r="G138" i="20"/>
  <c r="F138" i="20"/>
  <c r="E138" i="20"/>
  <c r="D138" i="20"/>
  <c r="C138" i="20"/>
  <c r="B138" i="20"/>
  <c r="A138" i="20"/>
  <c r="M138" i="20" s="1"/>
  <c r="Y138" i="20" s="1"/>
  <c r="AJ137" i="20"/>
  <c r="AI137" i="20"/>
  <c r="AH137" i="20"/>
  <c r="AG137" i="20"/>
  <c r="AF137" i="20"/>
  <c r="AE137" i="20"/>
  <c r="AD137" i="20"/>
  <c r="AC137" i="20"/>
  <c r="AB137" i="20"/>
  <c r="AA137" i="20"/>
  <c r="Z137" i="20"/>
  <c r="X137" i="20"/>
  <c r="W137" i="20"/>
  <c r="V137" i="20"/>
  <c r="U137" i="20"/>
  <c r="T137" i="20"/>
  <c r="S137" i="20"/>
  <c r="R137" i="20"/>
  <c r="Q137" i="20"/>
  <c r="P137" i="20"/>
  <c r="O137" i="20"/>
  <c r="N137" i="20"/>
  <c r="L137" i="20"/>
  <c r="K137" i="20"/>
  <c r="J137" i="20"/>
  <c r="I137" i="20"/>
  <c r="H137" i="20"/>
  <c r="G137" i="20"/>
  <c r="F137" i="20"/>
  <c r="E137" i="20"/>
  <c r="D137" i="20"/>
  <c r="C137" i="20"/>
  <c r="B137" i="20"/>
  <c r="A137" i="20"/>
  <c r="M137" i="20" s="1"/>
  <c r="Y137" i="20" s="1"/>
  <c r="AJ136" i="20"/>
  <c r="AI136" i="20"/>
  <c r="AH136" i="20"/>
  <c r="AG136" i="20"/>
  <c r="AF136" i="20"/>
  <c r="AE136" i="20"/>
  <c r="AD136" i="20"/>
  <c r="AC136" i="20"/>
  <c r="AB136" i="20"/>
  <c r="AA136" i="20"/>
  <c r="Z136" i="20"/>
  <c r="X136" i="20"/>
  <c r="W136" i="20"/>
  <c r="V136" i="20"/>
  <c r="U136" i="20"/>
  <c r="T136" i="20"/>
  <c r="S136" i="20"/>
  <c r="R136" i="20"/>
  <c r="Q136" i="20"/>
  <c r="P136" i="20"/>
  <c r="O136" i="20"/>
  <c r="N136" i="20"/>
  <c r="L136" i="20"/>
  <c r="K136" i="20"/>
  <c r="J136" i="20"/>
  <c r="I136" i="20"/>
  <c r="H136" i="20"/>
  <c r="G136" i="20"/>
  <c r="F136" i="20"/>
  <c r="E136" i="20"/>
  <c r="D136" i="20"/>
  <c r="C136" i="20"/>
  <c r="B136" i="20"/>
  <c r="A136" i="20"/>
  <c r="M136" i="20" s="1"/>
  <c r="Y136" i="20" s="1"/>
  <c r="AJ135" i="20"/>
  <c r="AI135" i="20"/>
  <c r="AH135" i="20"/>
  <c r="AG135" i="20"/>
  <c r="AF135" i="20"/>
  <c r="AE135" i="20"/>
  <c r="AD135" i="20"/>
  <c r="AC135" i="20"/>
  <c r="AB135" i="20"/>
  <c r="AA135" i="20"/>
  <c r="Z135" i="20"/>
  <c r="X135" i="20"/>
  <c r="W135" i="20"/>
  <c r="V135" i="20"/>
  <c r="U135" i="20"/>
  <c r="T135" i="20"/>
  <c r="S135" i="20"/>
  <c r="R135" i="20"/>
  <c r="Q135" i="20"/>
  <c r="P135" i="20"/>
  <c r="O135" i="20"/>
  <c r="N135" i="20"/>
  <c r="L135" i="20"/>
  <c r="K135" i="20"/>
  <c r="J135" i="20"/>
  <c r="I135" i="20"/>
  <c r="H135" i="20"/>
  <c r="G135" i="20"/>
  <c r="F135" i="20"/>
  <c r="E135" i="20"/>
  <c r="D135" i="20"/>
  <c r="C135" i="20"/>
  <c r="B135" i="20"/>
  <c r="A135" i="20"/>
  <c r="M135" i="20" s="1"/>
  <c r="Y135" i="20" s="1"/>
  <c r="AJ134" i="20"/>
  <c r="AI134" i="20"/>
  <c r="AH134" i="20"/>
  <c r="AG134" i="20"/>
  <c r="AF134" i="20"/>
  <c r="AE134" i="20"/>
  <c r="AD134" i="20"/>
  <c r="AC134" i="20"/>
  <c r="AB134" i="20"/>
  <c r="AA134" i="20"/>
  <c r="Z134" i="20"/>
  <c r="X134" i="20"/>
  <c r="W134" i="20"/>
  <c r="V134" i="20"/>
  <c r="U134" i="20"/>
  <c r="T134" i="20"/>
  <c r="S134" i="20"/>
  <c r="R134" i="20"/>
  <c r="Q134" i="20"/>
  <c r="P134" i="20"/>
  <c r="O134" i="20"/>
  <c r="N134" i="20"/>
  <c r="L134" i="20"/>
  <c r="K134" i="20"/>
  <c r="J134" i="20"/>
  <c r="I134" i="20"/>
  <c r="H134" i="20"/>
  <c r="G134" i="20"/>
  <c r="F134" i="20"/>
  <c r="E134" i="20"/>
  <c r="D134" i="20"/>
  <c r="C134" i="20"/>
  <c r="B134" i="20"/>
  <c r="A134" i="20"/>
  <c r="M134" i="20" s="1"/>
  <c r="Y134" i="20" s="1"/>
  <c r="AJ133" i="20"/>
  <c r="AI133" i="20"/>
  <c r="AH133" i="20"/>
  <c r="AG133" i="20"/>
  <c r="AF133" i="20"/>
  <c r="AE133" i="20"/>
  <c r="AD133" i="20"/>
  <c r="AC133" i="20"/>
  <c r="AB133" i="20"/>
  <c r="AA133" i="20"/>
  <c r="Z133" i="20"/>
  <c r="X133" i="20"/>
  <c r="W133" i="20"/>
  <c r="V133" i="20"/>
  <c r="U133" i="20"/>
  <c r="T133" i="20"/>
  <c r="S133" i="20"/>
  <c r="R133" i="20"/>
  <c r="Q133" i="20"/>
  <c r="P133" i="20"/>
  <c r="O133" i="20"/>
  <c r="N133" i="20"/>
  <c r="L133" i="20"/>
  <c r="K133" i="20"/>
  <c r="J133" i="20"/>
  <c r="I133" i="20"/>
  <c r="H133" i="20"/>
  <c r="G133" i="20"/>
  <c r="F133" i="20"/>
  <c r="E133" i="20"/>
  <c r="D133" i="20"/>
  <c r="C133" i="20"/>
  <c r="B133" i="20"/>
  <c r="A133" i="20"/>
  <c r="M133" i="20" s="1"/>
  <c r="Y133" i="20" s="1"/>
  <c r="AJ132" i="20"/>
  <c r="AI132" i="20"/>
  <c r="AH132" i="20"/>
  <c r="AG132" i="20"/>
  <c r="AF132" i="20"/>
  <c r="AE132" i="20"/>
  <c r="AD132" i="20"/>
  <c r="AC132" i="20"/>
  <c r="AB132" i="20"/>
  <c r="AA132" i="20"/>
  <c r="Z132" i="20"/>
  <c r="X132" i="20"/>
  <c r="W132" i="20"/>
  <c r="V132" i="20"/>
  <c r="U132" i="20"/>
  <c r="T132" i="20"/>
  <c r="S132" i="20"/>
  <c r="R132" i="20"/>
  <c r="Q132" i="20"/>
  <c r="P132" i="20"/>
  <c r="O132" i="20"/>
  <c r="N132" i="20"/>
  <c r="L132" i="20"/>
  <c r="K132" i="20"/>
  <c r="J132" i="20"/>
  <c r="I132" i="20"/>
  <c r="H132" i="20"/>
  <c r="G132" i="20"/>
  <c r="F132" i="20"/>
  <c r="E132" i="20"/>
  <c r="D132" i="20"/>
  <c r="C132" i="20"/>
  <c r="B132" i="20"/>
  <c r="A132" i="20"/>
  <c r="M132" i="20" s="1"/>
  <c r="Y132" i="20" s="1"/>
  <c r="AJ131" i="20"/>
  <c r="AI131" i="20"/>
  <c r="AH131" i="20"/>
  <c r="AG131" i="20"/>
  <c r="AF131" i="20"/>
  <c r="AE131" i="20"/>
  <c r="AD131" i="20"/>
  <c r="AC131" i="20"/>
  <c r="AB131" i="20"/>
  <c r="AA131" i="20"/>
  <c r="Z131" i="20"/>
  <c r="X131" i="20"/>
  <c r="W131" i="20"/>
  <c r="V131" i="20"/>
  <c r="U131" i="20"/>
  <c r="T131" i="20"/>
  <c r="S131" i="20"/>
  <c r="R131" i="20"/>
  <c r="Q131" i="20"/>
  <c r="P131" i="20"/>
  <c r="O131" i="20"/>
  <c r="N131" i="20"/>
  <c r="L131" i="20"/>
  <c r="K131" i="20"/>
  <c r="J131" i="20"/>
  <c r="I131" i="20"/>
  <c r="H131" i="20"/>
  <c r="G131" i="20"/>
  <c r="F131" i="20"/>
  <c r="E131" i="20"/>
  <c r="D131" i="20"/>
  <c r="C131" i="20"/>
  <c r="B131" i="20"/>
  <c r="A131" i="20"/>
  <c r="M131" i="20" s="1"/>
  <c r="Y131" i="20" s="1"/>
  <c r="AJ130" i="20"/>
  <c r="AI130" i="20"/>
  <c r="AH130" i="20"/>
  <c r="AG130" i="20"/>
  <c r="AF130" i="20"/>
  <c r="AE130" i="20"/>
  <c r="AD130" i="20"/>
  <c r="AC130" i="20"/>
  <c r="AB130" i="20"/>
  <c r="AA130" i="20"/>
  <c r="Z130" i="20"/>
  <c r="X130" i="20"/>
  <c r="W130" i="20"/>
  <c r="V130" i="20"/>
  <c r="U130" i="20"/>
  <c r="T130" i="20"/>
  <c r="S130" i="20"/>
  <c r="R130" i="20"/>
  <c r="Q130" i="20"/>
  <c r="P130" i="20"/>
  <c r="O130" i="20"/>
  <c r="N130" i="20"/>
  <c r="L130" i="20"/>
  <c r="K130" i="20"/>
  <c r="J130" i="20"/>
  <c r="I130" i="20"/>
  <c r="H130" i="20"/>
  <c r="G130" i="20"/>
  <c r="F130" i="20"/>
  <c r="E130" i="20"/>
  <c r="D130" i="20"/>
  <c r="C130" i="20"/>
  <c r="B130" i="20"/>
  <c r="A130" i="20"/>
  <c r="M130" i="20" s="1"/>
  <c r="Y130" i="20" s="1"/>
  <c r="AJ129" i="20"/>
  <c r="AI129" i="20"/>
  <c r="AH129" i="20"/>
  <c r="AG129" i="20"/>
  <c r="AF129" i="20"/>
  <c r="AE129" i="20"/>
  <c r="AD129" i="20"/>
  <c r="AC129" i="20"/>
  <c r="AB129" i="20"/>
  <c r="AA129" i="20"/>
  <c r="Z129" i="20"/>
  <c r="X129" i="20"/>
  <c r="W129" i="20"/>
  <c r="V129" i="20"/>
  <c r="U129" i="20"/>
  <c r="T129" i="20"/>
  <c r="S129" i="20"/>
  <c r="R129" i="20"/>
  <c r="Q129" i="20"/>
  <c r="P129" i="20"/>
  <c r="O129" i="20"/>
  <c r="N129" i="20"/>
  <c r="L129" i="20"/>
  <c r="K129" i="20"/>
  <c r="J129" i="20"/>
  <c r="I129" i="20"/>
  <c r="H129" i="20"/>
  <c r="G129" i="20"/>
  <c r="F129" i="20"/>
  <c r="E129" i="20"/>
  <c r="D129" i="20"/>
  <c r="C129" i="20"/>
  <c r="B129" i="20"/>
  <c r="A129" i="20"/>
  <c r="M129" i="20" s="1"/>
  <c r="Y129" i="20" s="1"/>
  <c r="AJ128" i="20"/>
  <c r="AI128" i="20"/>
  <c r="AH128" i="20"/>
  <c r="AG128" i="20"/>
  <c r="AF128" i="20"/>
  <c r="AE128" i="20"/>
  <c r="AD128" i="20"/>
  <c r="AC128" i="20"/>
  <c r="AB128" i="20"/>
  <c r="AA128" i="20"/>
  <c r="Z128" i="20"/>
  <c r="X128" i="20"/>
  <c r="W128" i="20"/>
  <c r="V128" i="20"/>
  <c r="U128" i="20"/>
  <c r="T128" i="20"/>
  <c r="S128" i="20"/>
  <c r="R128" i="20"/>
  <c r="Q128" i="20"/>
  <c r="P128" i="20"/>
  <c r="O128" i="20"/>
  <c r="N128" i="20"/>
  <c r="L128" i="20"/>
  <c r="K128" i="20"/>
  <c r="J128" i="20"/>
  <c r="I128" i="20"/>
  <c r="H128" i="20"/>
  <c r="G128" i="20"/>
  <c r="F128" i="20"/>
  <c r="E128" i="20"/>
  <c r="D128" i="20"/>
  <c r="C128" i="20"/>
  <c r="B128" i="20"/>
  <c r="A128" i="20"/>
  <c r="M128" i="20" s="1"/>
  <c r="Y128" i="20" s="1"/>
  <c r="AJ127" i="20"/>
  <c r="AI127" i="20"/>
  <c r="AH127" i="20"/>
  <c r="AG127" i="20"/>
  <c r="AF127" i="20"/>
  <c r="AE127" i="20"/>
  <c r="AD127" i="20"/>
  <c r="AC127" i="20"/>
  <c r="AB127" i="20"/>
  <c r="AA127" i="20"/>
  <c r="Z127" i="20"/>
  <c r="X127" i="20"/>
  <c r="W127" i="20"/>
  <c r="V127" i="20"/>
  <c r="U127" i="20"/>
  <c r="T127" i="20"/>
  <c r="S127" i="20"/>
  <c r="R127" i="20"/>
  <c r="Q127" i="20"/>
  <c r="P127" i="20"/>
  <c r="O127" i="20"/>
  <c r="N127" i="20"/>
  <c r="L127" i="20"/>
  <c r="K127" i="20"/>
  <c r="J127" i="20"/>
  <c r="I127" i="20"/>
  <c r="H127" i="20"/>
  <c r="G127" i="20"/>
  <c r="F127" i="20"/>
  <c r="E127" i="20"/>
  <c r="D127" i="20"/>
  <c r="C127" i="20"/>
  <c r="B127" i="20"/>
  <c r="A127" i="20"/>
  <c r="M127" i="20" s="1"/>
  <c r="Y127" i="20" s="1"/>
  <c r="AJ126" i="20"/>
  <c r="AI126" i="20"/>
  <c r="AH126" i="20"/>
  <c r="AG126" i="20"/>
  <c r="AF126" i="20"/>
  <c r="AE126" i="20"/>
  <c r="AD126" i="20"/>
  <c r="AC126" i="20"/>
  <c r="AB126" i="20"/>
  <c r="AA126" i="20"/>
  <c r="Z126" i="20"/>
  <c r="X126" i="20"/>
  <c r="W126" i="20"/>
  <c r="V126" i="20"/>
  <c r="U126" i="20"/>
  <c r="T126" i="20"/>
  <c r="S126" i="20"/>
  <c r="R126" i="20"/>
  <c r="Q126" i="20"/>
  <c r="P126" i="20"/>
  <c r="O126" i="20"/>
  <c r="N126" i="20"/>
  <c r="L126" i="20"/>
  <c r="K126" i="20"/>
  <c r="J126" i="20"/>
  <c r="I126" i="20"/>
  <c r="H126" i="20"/>
  <c r="G126" i="20"/>
  <c r="F126" i="20"/>
  <c r="E126" i="20"/>
  <c r="D126" i="20"/>
  <c r="C126" i="20"/>
  <c r="B126" i="20"/>
  <c r="A126" i="20"/>
  <c r="M126" i="20" s="1"/>
  <c r="Y126" i="20" s="1"/>
  <c r="AJ125" i="20"/>
  <c r="AI125" i="20"/>
  <c r="AH125" i="20"/>
  <c r="AG125" i="20"/>
  <c r="AF125" i="20"/>
  <c r="AE125" i="20"/>
  <c r="AD125" i="20"/>
  <c r="AC125" i="20"/>
  <c r="AB125" i="20"/>
  <c r="AA125" i="20"/>
  <c r="Z125" i="20"/>
  <c r="X125" i="20"/>
  <c r="W125" i="20"/>
  <c r="V125" i="20"/>
  <c r="U125" i="20"/>
  <c r="T125" i="20"/>
  <c r="S125" i="20"/>
  <c r="R125" i="20"/>
  <c r="Q125" i="20"/>
  <c r="P125" i="20"/>
  <c r="O125" i="20"/>
  <c r="N125" i="20"/>
  <c r="L125" i="20"/>
  <c r="K125" i="20"/>
  <c r="J125" i="20"/>
  <c r="I125" i="20"/>
  <c r="H125" i="20"/>
  <c r="G125" i="20"/>
  <c r="F125" i="20"/>
  <c r="E125" i="20"/>
  <c r="D125" i="20"/>
  <c r="C125" i="20"/>
  <c r="B125" i="20"/>
  <c r="A125" i="20"/>
  <c r="M125" i="20" s="1"/>
  <c r="Y125" i="20" s="1"/>
  <c r="AJ124" i="20"/>
  <c r="AI124" i="20"/>
  <c r="AH124" i="20"/>
  <c r="AG124" i="20"/>
  <c r="AF124" i="20"/>
  <c r="AE124" i="20"/>
  <c r="AD124" i="20"/>
  <c r="AC124" i="20"/>
  <c r="AB124" i="20"/>
  <c r="AA124" i="20"/>
  <c r="Z124" i="20"/>
  <c r="X124" i="20"/>
  <c r="W124" i="20"/>
  <c r="V124" i="20"/>
  <c r="U124" i="20"/>
  <c r="T124" i="20"/>
  <c r="S124" i="20"/>
  <c r="R124" i="20"/>
  <c r="Q124" i="20"/>
  <c r="P124" i="20"/>
  <c r="O124" i="20"/>
  <c r="N124" i="20"/>
  <c r="L124" i="20"/>
  <c r="K124" i="20"/>
  <c r="J124" i="20"/>
  <c r="I124" i="20"/>
  <c r="H124" i="20"/>
  <c r="G124" i="20"/>
  <c r="F124" i="20"/>
  <c r="E124" i="20"/>
  <c r="D124" i="20"/>
  <c r="C124" i="20"/>
  <c r="B124" i="20"/>
  <c r="A124" i="20"/>
  <c r="M124" i="20" s="1"/>
  <c r="Y124" i="20" s="1"/>
  <c r="AJ123" i="20"/>
  <c r="AI123" i="20"/>
  <c r="AH123" i="20"/>
  <c r="AG123" i="20"/>
  <c r="AF123" i="20"/>
  <c r="AE123" i="20"/>
  <c r="AD123" i="20"/>
  <c r="AC123" i="20"/>
  <c r="AB123" i="20"/>
  <c r="AA123" i="20"/>
  <c r="Z123" i="20"/>
  <c r="X123" i="20"/>
  <c r="W123" i="20"/>
  <c r="V123" i="20"/>
  <c r="U123" i="20"/>
  <c r="T123" i="20"/>
  <c r="S123" i="20"/>
  <c r="R123" i="20"/>
  <c r="Q123" i="20"/>
  <c r="P123" i="20"/>
  <c r="O123" i="20"/>
  <c r="N123" i="20"/>
  <c r="L123" i="20"/>
  <c r="K123" i="20"/>
  <c r="J123" i="20"/>
  <c r="I123" i="20"/>
  <c r="H123" i="20"/>
  <c r="G123" i="20"/>
  <c r="F123" i="20"/>
  <c r="E123" i="20"/>
  <c r="D123" i="20"/>
  <c r="C123" i="20"/>
  <c r="B123" i="20"/>
  <c r="A123" i="20"/>
  <c r="M123" i="20" s="1"/>
  <c r="Y123" i="20" s="1"/>
  <c r="AJ122" i="20"/>
  <c r="AI122" i="20"/>
  <c r="AH122" i="20"/>
  <c r="AG122" i="20"/>
  <c r="AF122" i="20"/>
  <c r="AE122" i="20"/>
  <c r="AD122" i="20"/>
  <c r="AC122" i="20"/>
  <c r="AB122" i="20"/>
  <c r="AA122" i="20"/>
  <c r="Z122" i="20"/>
  <c r="X122" i="20"/>
  <c r="W122" i="20"/>
  <c r="V122" i="20"/>
  <c r="U122" i="20"/>
  <c r="T122" i="20"/>
  <c r="S122" i="20"/>
  <c r="R122" i="20"/>
  <c r="Q122" i="20"/>
  <c r="P122" i="20"/>
  <c r="O122" i="20"/>
  <c r="N122" i="20"/>
  <c r="L122" i="20"/>
  <c r="K122" i="20"/>
  <c r="J122" i="20"/>
  <c r="I122" i="20"/>
  <c r="H122" i="20"/>
  <c r="G122" i="20"/>
  <c r="F122" i="20"/>
  <c r="E122" i="20"/>
  <c r="D122" i="20"/>
  <c r="C122" i="20"/>
  <c r="B122" i="20"/>
  <c r="A122" i="20"/>
  <c r="M122" i="20" s="1"/>
  <c r="Y122" i="20" s="1"/>
  <c r="AJ121" i="20"/>
  <c r="AI121" i="20"/>
  <c r="AH121" i="20"/>
  <c r="AG121" i="20"/>
  <c r="AF121" i="20"/>
  <c r="AE121" i="20"/>
  <c r="AD121" i="20"/>
  <c r="AC121" i="20"/>
  <c r="AB121" i="20"/>
  <c r="AA121" i="20"/>
  <c r="Z121" i="20"/>
  <c r="X121" i="20"/>
  <c r="W121" i="20"/>
  <c r="V121" i="20"/>
  <c r="U121" i="20"/>
  <c r="T121" i="20"/>
  <c r="S121" i="20"/>
  <c r="R121" i="20"/>
  <c r="Q121" i="20"/>
  <c r="P121" i="20"/>
  <c r="O121" i="20"/>
  <c r="N121" i="20"/>
  <c r="L121" i="20"/>
  <c r="K121" i="20"/>
  <c r="J121" i="20"/>
  <c r="I121" i="20"/>
  <c r="H121" i="20"/>
  <c r="G121" i="20"/>
  <c r="F121" i="20"/>
  <c r="E121" i="20"/>
  <c r="D121" i="20"/>
  <c r="C121" i="20"/>
  <c r="B121" i="20"/>
  <c r="A121" i="20"/>
  <c r="M121" i="20" s="1"/>
  <c r="Y121" i="20" s="1"/>
  <c r="AJ120" i="20"/>
  <c r="AI120" i="20"/>
  <c r="AH120" i="20"/>
  <c r="AG120" i="20"/>
  <c r="AF120" i="20"/>
  <c r="AE120" i="20"/>
  <c r="AD120" i="20"/>
  <c r="AC120" i="20"/>
  <c r="AB120" i="20"/>
  <c r="AA120" i="20"/>
  <c r="Z120" i="20"/>
  <c r="X120" i="20"/>
  <c r="W120" i="20"/>
  <c r="V120" i="20"/>
  <c r="U120" i="20"/>
  <c r="T120" i="20"/>
  <c r="S120" i="20"/>
  <c r="R120" i="20"/>
  <c r="Q120" i="20"/>
  <c r="P120" i="20"/>
  <c r="O120" i="20"/>
  <c r="N120" i="20"/>
  <c r="L120" i="20"/>
  <c r="K120" i="20"/>
  <c r="J120" i="20"/>
  <c r="I120" i="20"/>
  <c r="H120" i="20"/>
  <c r="G120" i="20"/>
  <c r="F120" i="20"/>
  <c r="E120" i="20"/>
  <c r="D120" i="20"/>
  <c r="C120" i="20"/>
  <c r="B120" i="20"/>
  <c r="A120" i="20"/>
  <c r="M120" i="20" s="1"/>
  <c r="Y120" i="20" s="1"/>
  <c r="AJ119" i="20"/>
  <c r="AI119" i="20"/>
  <c r="AH119" i="20"/>
  <c r="AG119" i="20"/>
  <c r="AF119" i="20"/>
  <c r="AE119" i="20"/>
  <c r="AD119" i="20"/>
  <c r="AC119" i="20"/>
  <c r="AB119" i="20"/>
  <c r="AA119" i="20"/>
  <c r="Z119" i="20"/>
  <c r="X119" i="20"/>
  <c r="W119" i="20"/>
  <c r="V119" i="20"/>
  <c r="U119" i="20"/>
  <c r="T119" i="20"/>
  <c r="S119" i="20"/>
  <c r="R119" i="20"/>
  <c r="Q119" i="20"/>
  <c r="P119" i="20"/>
  <c r="O119" i="20"/>
  <c r="N119" i="20"/>
  <c r="L119" i="20"/>
  <c r="K119" i="20"/>
  <c r="J119" i="20"/>
  <c r="I119" i="20"/>
  <c r="H119" i="20"/>
  <c r="G119" i="20"/>
  <c r="F119" i="20"/>
  <c r="E119" i="20"/>
  <c r="D119" i="20"/>
  <c r="C119" i="20"/>
  <c r="B119" i="20"/>
  <c r="A119" i="20"/>
  <c r="M119" i="20" s="1"/>
  <c r="Y119" i="20" s="1"/>
  <c r="AJ118" i="20"/>
  <c r="AI118" i="20"/>
  <c r="AH118" i="20"/>
  <c r="AG118" i="20"/>
  <c r="AF118" i="20"/>
  <c r="AE118" i="20"/>
  <c r="AD118" i="20"/>
  <c r="AC118" i="20"/>
  <c r="AB118" i="20"/>
  <c r="AA118" i="20"/>
  <c r="Z118" i="20"/>
  <c r="X118" i="20"/>
  <c r="W118" i="20"/>
  <c r="V118" i="20"/>
  <c r="U118" i="20"/>
  <c r="T118" i="20"/>
  <c r="S118" i="20"/>
  <c r="R118" i="20"/>
  <c r="Q118" i="20"/>
  <c r="P118" i="20"/>
  <c r="O118" i="20"/>
  <c r="N118" i="20"/>
  <c r="L118" i="20"/>
  <c r="K118" i="20"/>
  <c r="J118" i="20"/>
  <c r="I118" i="20"/>
  <c r="H118" i="20"/>
  <c r="G118" i="20"/>
  <c r="F118" i="20"/>
  <c r="E118" i="20"/>
  <c r="D118" i="20"/>
  <c r="C118" i="20"/>
  <c r="B118" i="20"/>
  <c r="A118" i="20"/>
  <c r="M118" i="20" s="1"/>
  <c r="Y118" i="20" s="1"/>
  <c r="AJ117" i="20"/>
  <c r="AI117" i="20"/>
  <c r="AH117" i="20"/>
  <c r="AG117" i="20"/>
  <c r="AF117" i="20"/>
  <c r="AE117" i="20"/>
  <c r="AD117" i="20"/>
  <c r="AC117" i="20"/>
  <c r="AB117" i="20"/>
  <c r="AA117" i="20"/>
  <c r="Z117" i="20"/>
  <c r="X117" i="20"/>
  <c r="W117" i="20"/>
  <c r="V117" i="20"/>
  <c r="U117" i="20"/>
  <c r="T117" i="20"/>
  <c r="S117" i="20"/>
  <c r="R117" i="20"/>
  <c r="Q117" i="20"/>
  <c r="P117" i="20"/>
  <c r="O117" i="20"/>
  <c r="N117" i="20"/>
  <c r="L117" i="20"/>
  <c r="K117" i="20"/>
  <c r="J117" i="20"/>
  <c r="I117" i="20"/>
  <c r="H117" i="20"/>
  <c r="G117" i="20"/>
  <c r="F117" i="20"/>
  <c r="E117" i="20"/>
  <c r="D117" i="20"/>
  <c r="C117" i="20"/>
  <c r="B117" i="20"/>
  <c r="A117" i="20"/>
  <c r="M117" i="20" s="1"/>
  <c r="Y117" i="20" s="1"/>
  <c r="AJ116" i="20"/>
  <c r="AI116" i="20"/>
  <c r="AH116" i="20"/>
  <c r="AG116" i="20"/>
  <c r="AF116" i="20"/>
  <c r="AE116" i="20"/>
  <c r="AD116" i="20"/>
  <c r="AC116" i="20"/>
  <c r="AB116" i="20"/>
  <c r="AA116" i="20"/>
  <c r="Z116" i="20"/>
  <c r="X116" i="20"/>
  <c r="W116" i="20"/>
  <c r="V116" i="20"/>
  <c r="U116" i="20"/>
  <c r="T116" i="20"/>
  <c r="S116" i="20"/>
  <c r="R116" i="20"/>
  <c r="Q116" i="20"/>
  <c r="P116" i="20"/>
  <c r="O116" i="20"/>
  <c r="N116" i="20"/>
  <c r="L116" i="20"/>
  <c r="K116" i="20"/>
  <c r="J116" i="20"/>
  <c r="I116" i="20"/>
  <c r="H116" i="20"/>
  <c r="G116" i="20"/>
  <c r="F116" i="20"/>
  <c r="E116" i="20"/>
  <c r="D116" i="20"/>
  <c r="C116" i="20"/>
  <c r="B116" i="20"/>
  <c r="A116" i="20"/>
  <c r="M116" i="20" s="1"/>
  <c r="Y116" i="20" s="1"/>
  <c r="AJ115" i="20"/>
  <c r="AI115" i="20"/>
  <c r="AH115" i="20"/>
  <c r="AG115" i="20"/>
  <c r="AF115" i="20"/>
  <c r="AE115" i="20"/>
  <c r="AD115" i="20"/>
  <c r="AC115" i="20"/>
  <c r="AB115" i="20"/>
  <c r="AA115" i="20"/>
  <c r="Z115" i="20"/>
  <c r="X115" i="20"/>
  <c r="W115" i="20"/>
  <c r="V115" i="20"/>
  <c r="U115" i="20"/>
  <c r="T115" i="20"/>
  <c r="S115" i="20"/>
  <c r="R115" i="20"/>
  <c r="Q115" i="20"/>
  <c r="P115" i="20"/>
  <c r="O115" i="20"/>
  <c r="N115" i="20"/>
  <c r="L115" i="20"/>
  <c r="K115" i="20"/>
  <c r="J115" i="20"/>
  <c r="I115" i="20"/>
  <c r="H115" i="20"/>
  <c r="G115" i="20"/>
  <c r="F115" i="20"/>
  <c r="E115" i="20"/>
  <c r="D115" i="20"/>
  <c r="C115" i="20"/>
  <c r="B115" i="20"/>
  <c r="A115" i="20"/>
  <c r="M115" i="20" s="1"/>
  <c r="Y115" i="20" s="1"/>
  <c r="AJ114" i="20"/>
  <c r="AI114" i="20"/>
  <c r="AH114" i="20"/>
  <c r="AG114" i="20"/>
  <c r="AF114" i="20"/>
  <c r="AE114" i="20"/>
  <c r="AD114" i="20"/>
  <c r="AC114" i="20"/>
  <c r="AB114" i="20"/>
  <c r="AA114" i="20"/>
  <c r="Z114" i="20"/>
  <c r="X114" i="20"/>
  <c r="W114" i="20"/>
  <c r="V114" i="20"/>
  <c r="U114" i="20"/>
  <c r="T114" i="20"/>
  <c r="S114" i="20"/>
  <c r="R114" i="20"/>
  <c r="Q114" i="20"/>
  <c r="P114" i="20"/>
  <c r="O114" i="20"/>
  <c r="N114" i="20"/>
  <c r="L114" i="20"/>
  <c r="K114" i="20"/>
  <c r="J114" i="20"/>
  <c r="I114" i="20"/>
  <c r="H114" i="20"/>
  <c r="G114" i="20"/>
  <c r="F114" i="20"/>
  <c r="E114" i="20"/>
  <c r="D114" i="20"/>
  <c r="C114" i="20"/>
  <c r="B114" i="20"/>
  <c r="A114" i="20"/>
  <c r="M114" i="20" s="1"/>
  <c r="Y114" i="20" s="1"/>
  <c r="AJ113" i="20"/>
  <c r="AI113" i="20"/>
  <c r="AH113" i="20"/>
  <c r="AG113" i="20"/>
  <c r="AF113" i="20"/>
  <c r="AE113" i="20"/>
  <c r="AD113" i="20"/>
  <c r="AC113" i="20"/>
  <c r="AB113" i="20"/>
  <c r="AA113" i="20"/>
  <c r="Z113" i="20"/>
  <c r="X113" i="20"/>
  <c r="W113" i="20"/>
  <c r="V113" i="20"/>
  <c r="U113" i="20"/>
  <c r="T113" i="20"/>
  <c r="S113" i="20"/>
  <c r="R113" i="20"/>
  <c r="Q113" i="20"/>
  <c r="P113" i="20"/>
  <c r="O113" i="20"/>
  <c r="N113" i="20"/>
  <c r="L113" i="20"/>
  <c r="K113" i="20"/>
  <c r="J113" i="20"/>
  <c r="I113" i="20"/>
  <c r="H113" i="20"/>
  <c r="G113" i="20"/>
  <c r="F113" i="20"/>
  <c r="E113" i="20"/>
  <c r="D113" i="20"/>
  <c r="C113" i="20"/>
  <c r="B113" i="20"/>
  <c r="A113" i="20"/>
  <c r="M113" i="20" s="1"/>
  <c r="Y113" i="20" s="1"/>
  <c r="AJ112" i="20"/>
  <c r="AI112" i="20"/>
  <c r="AH112" i="20"/>
  <c r="AG112" i="20"/>
  <c r="AF112" i="20"/>
  <c r="AE112" i="20"/>
  <c r="AD112" i="20"/>
  <c r="AC112" i="20"/>
  <c r="AB112" i="20"/>
  <c r="AA112" i="20"/>
  <c r="Z112" i="20"/>
  <c r="X112" i="20"/>
  <c r="W112" i="20"/>
  <c r="V112" i="20"/>
  <c r="U112" i="20"/>
  <c r="T112" i="20"/>
  <c r="S112" i="20"/>
  <c r="R112" i="20"/>
  <c r="Q112" i="20"/>
  <c r="P112" i="20"/>
  <c r="O112" i="20"/>
  <c r="N112" i="20"/>
  <c r="L112" i="20"/>
  <c r="K112" i="20"/>
  <c r="J112" i="20"/>
  <c r="I112" i="20"/>
  <c r="H112" i="20"/>
  <c r="G112" i="20"/>
  <c r="F112" i="20"/>
  <c r="E112" i="20"/>
  <c r="D112" i="20"/>
  <c r="C112" i="20"/>
  <c r="B112" i="20"/>
  <c r="A112" i="20"/>
  <c r="M112" i="20" s="1"/>
  <c r="Y112" i="20" s="1"/>
  <c r="AJ111" i="20"/>
  <c r="AI111" i="20"/>
  <c r="AH111" i="20"/>
  <c r="AG111" i="20"/>
  <c r="AF111" i="20"/>
  <c r="AE111" i="20"/>
  <c r="AD111" i="20"/>
  <c r="AC111" i="20"/>
  <c r="AB111" i="20"/>
  <c r="AA111" i="20"/>
  <c r="Z111" i="20"/>
  <c r="X111" i="20"/>
  <c r="W111" i="20"/>
  <c r="V111" i="20"/>
  <c r="U111" i="20"/>
  <c r="T111" i="20"/>
  <c r="S111" i="20"/>
  <c r="R111" i="20"/>
  <c r="Q111" i="20"/>
  <c r="P111" i="20"/>
  <c r="O111" i="20"/>
  <c r="N111" i="20"/>
  <c r="L111" i="20"/>
  <c r="K111" i="20"/>
  <c r="J111" i="20"/>
  <c r="I111" i="20"/>
  <c r="H111" i="20"/>
  <c r="G111" i="20"/>
  <c r="F111" i="20"/>
  <c r="E111" i="20"/>
  <c r="D111" i="20"/>
  <c r="C111" i="20"/>
  <c r="B111" i="20"/>
  <c r="A111" i="20"/>
  <c r="M111" i="20" s="1"/>
  <c r="Y111" i="20" s="1"/>
  <c r="AJ110" i="20"/>
  <c r="AI110" i="20"/>
  <c r="AH110" i="20"/>
  <c r="AG110" i="20"/>
  <c r="AF110" i="20"/>
  <c r="AE110" i="20"/>
  <c r="AD110" i="20"/>
  <c r="AC110" i="20"/>
  <c r="AB110" i="20"/>
  <c r="AA110" i="20"/>
  <c r="Z110" i="20"/>
  <c r="X110" i="20"/>
  <c r="W110" i="20"/>
  <c r="V110" i="20"/>
  <c r="U110" i="20"/>
  <c r="T110" i="20"/>
  <c r="S110" i="20"/>
  <c r="R110" i="20"/>
  <c r="Q110" i="20"/>
  <c r="P110" i="20"/>
  <c r="O110" i="20"/>
  <c r="N110" i="20"/>
  <c r="L110" i="20"/>
  <c r="K110" i="20"/>
  <c r="J110" i="20"/>
  <c r="I110" i="20"/>
  <c r="H110" i="20"/>
  <c r="G110" i="20"/>
  <c r="F110" i="20"/>
  <c r="E110" i="20"/>
  <c r="D110" i="20"/>
  <c r="C110" i="20"/>
  <c r="B110" i="20"/>
  <c r="A110" i="20"/>
  <c r="M110" i="20" s="1"/>
  <c r="Y110" i="20" s="1"/>
  <c r="AJ109" i="20"/>
  <c r="AI109" i="20"/>
  <c r="AH109" i="20"/>
  <c r="AG109" i="20"/>
  <c r="AF109" i="20"/>
  <c r="AE109" i="20"/>
  <c r="AD109" i="20"/>
  <c r="AC109" i="20"/>
  <c r="AB109" i="20"/>
  <c r="AA109" i="20"/>
  <c r="Z109" i="20"/>
  <c r="X109" i="20"/>
  <c r="W109" i="20"/>
  <c r="V109" i="20"/>
  <c r="U109" i="20"/>
  <c r="T109" i="20"/>
  <c r="S109" i="20"/>
  <c r="R109" i="20"/>
  <c r="Q109" i="20"/>
  <c r="P109" i="20"/>
  <c r="O109" i="20"/>
  <c r="N109" i="20"/>
  <c r="L109" i="20"/>
  <c r="K109" i="20"/>
  <c r="J109" i="20"/>
  <c r="I109" i="20"/>
  <c r="H109" i="20"/>
  <c r="G109" i="20"/>
  <c r="F109" i="20"/>
  <c r="E109" i="20"/>
  <c r="D109" i="20"/>
  <c r="C109" i="20"/>
  <c r="B109" i="20"/>
  <c r="A109" i="20"/>
  <c r="M109" i="20" s="1"/>
  <c r="Y109" i="20" s="1"/>
  <c r="AJ108" i="20"/>
  <c r="AI108" i="20"/>
  <c r="AH108" i="20"/>
  <c r="AG108" i="20"/>
  <c r="AF108" i="20"/>
  <c r="AE108" i="20"/>
  <c r="AD108" i="20"/>
  <c r="AC108" i="20"/>
  <c r="AB108" i="20"/>
  <c r="AA108" i="20"/>
  <c r="Z108" i="20"/>
  <c r="X108" i="20"/>
  <c r="W108" i="20"/>
  <c r="V108" i="20"/>
  <c r="U108" i="20"/>
  <c r="T108" i="20"/>
  <c r="S108" i="20"/>
  <c r="R108" i="20"/>
  <c r="Q108" i="20"/>
  <c r="P108" i="20"/>
  <c r="O108" i="20"/>
  <c r="N108" i="20"/>
  <c r="L108" i="20"/>
  <c r="K108" i="20"/>
  <c r="J108" i="20"/>
  <c r="I108" i="20"/>
  <c r="H108" i="20"/>
  <c r="G108" i="20"/>
  <c r="F108" i="20"/>
  <c r="E108" i="20"/>
  <c r="D108" i="20"/>
  <c r="C108" i="20"/>
  <c r="B108" i="20"/>
  <c r="A108" i="20"/>
  <c r="M108" i="20" s="1"/>
  <c r="Y108" i="20" s="1"/>
  <c r="AJ107" i="20"/>
  <c r="AI107" i="20"/>
  <c r="AH107" i="20"/>
  <c r="AG107" i="20"/>
  <c r="AF107" i="20"/>
  <c r="AE107" i="20"/>
  <c r="AD107" i="20"/>
  <c r="AC107" i="20"/>
  <c r="AB107" i="20"/>
  <c r="AA107" i="20"/>
  <c r="Z107" i="20"/>
  <c r="X107" i="20"/>
  <c r="W107" i="20"/>
  <c r="V107" i="20"/>
  <c r="U107" i="20"/>
  <c r="T107" i="20"/>
  <c r="S107" i="20"/>
  <c r="R107" i="20"/>
  <c r="Q107" i="20"/>
  <c r="P107" i="20"/>
  <c r="O107" i="20"/>
  <c r="N107" i="20"/>
  <c r="L107" i="20"/>
  <c r="K107" i="20"/>
  <c r="J107" i="20"/>
  <c r="I107" i="20"/>
  <c r="H107" i="20"/>
  <c r="G107" i="20"/>
  <c r="F107" i="20"/>
  <c r="E107" i="20"/>
  <c r="D107" i="20"/>
  <c r="C107" i="20"/>
  <c r="B107" i="20"/>
  <c r="A107" i="20"/>
  <c r="M107" i="20" s="1"/>
  <c r="Y107" i="20" s="1"/>
  <c r="AJ106" i="20"/>
  <c r="AI106" i="20"/>
  <c r="AH106" i="20"/>
  <c r="AG106" i="20"/>
  <c r="AF106" i="20"/>
  <c r="AE106" i="20"/>
  <c r="AD106" i="20"/>
  <c r="AC106" i="20"/>
  <c r="AB106" i="20"/>
  <c r="AA106" i="20"/>
  <c r="Z106" i="20"/>
  <c r="X106" i="20"/>
  <c r="W106" i="20"/>
  <c r="V106" i="20"/>
  <c r="U106" i="20"/>
  <c r="T106" i="20"/>
  <c r="S106" i="20"/>
  <c r="R106" i="20"/>
  <c r="Q106" i="20"/>
  <c r="P106" i="20"/>
  <c r="O106" i="20"/>
  <c r="N106" i="20"/>
  <c r="L106" i="20"/>
  <c r="K106" i="20"/>
  <c r="J106" i="20"/>
  <c r="I106" i="20"/>
  <c r="H106" i="20"/>
  <c r="G106" i="20"/>
  <c r="F106" i="20"/>
  <c r="E106" i="20"/>
  <c r="D106" i="20"/>
  <c r="C106" i="20"/>
  <c r="B106" i="20"/>
  <c r="A106" i="20"/>
  <c r="M106" i="20" s="1"/>
  <c r="Y106" i="20" s="1"/>
  <c r="AJ105" i="20"/>
  <c r="AI105" i="20"/>
  <c r="AH105" i="20"/>
  <c r="AG105" i="20"/>
  <c r="AF105" i="20"/>
  <c r="AE105" i="20"/>
  <c r="AD105" i="20"/>
  <c r="AC105" i="20"/>
  <c r="AB105" i="20"/>
  <c r="AA105" i="20"/>
  <c r="Z105" i="20"/>
  <c r="X105" i="20"/>
  <c r="W105" i="20"/>
  <c r="V105" i="20"/>
  <c r="U105" i="20"/>
  <c r="T105" i="20"/>
  <c r="S105" i="20"/>
  <c r="R105" i="20"/>
  <c r="Q105" i="20"/>
  <c r="P105" i="20"/>
  <c r="O105" i="20"/>
  <c r="N105" i="20"/>
  <c r="L105" i="20"/>
  <c r="K105" i="20"/>
  <c r="J105" i="20"/>
  <c r="I105" i="20"/>
  <c r="H105" i="20"/>
  <c r="G105" i="20"/>
  <c r="F105" i="20"/>
  <c r="E105" i="20"/>
  <c r="D105" i="20"/>
  <c r="C105" i="20"/>
  <c r="B105" i="20"/>
  <c r="A105" i="20"/>
  <c r="M105" i="20" s="1"/>
  <c r="Y105" i="20" s="1"/>
  <c r="AJ104" i="20"/>
  <c r="AI104" i="20"/>
  <c r="AH104" i="20"/>
  <c r="AG104" i="20"/>
  <c r="AF104" i="20"/>
  <c r="AE104" i="20"/>
  <c r="AD104" i="20"/>
  <c r="AC104" i="20"/>
  <c r="AB104" i="20"/>
  <c r="AA104" i="20"/>
  <c r="Z104" i="20"/>
  <c r="X104" i="20"/>
  <c r="W104" i="20"/>
  <c r="V104" i="20"/>
  <c r="U104" i="20"/>
  <c r="T104" i="20"/>
  <c r="S104" i="20"/>
  <c r="R104" i="20"/>
  <c r="Q104" i="20"/>
  <c r="P104" i="20"/>
  <c r="O104" i="20"/>
  <c r="N104" i="20"/>
  <c r="L104" i="20"/>
  <c r="K104" i="20"/>
  <c r="J104" i="20"/>
  <c r="I104" i="20"/>
  <c r="H104" i="20"/>
  <c r="G104" i="20"/>
  <c r="F104" i="20"/>
  <c r="E104" i="20"/>
  <c r="D104" i="20"/>
  <c r="C104" i="20"/>
  <c r="B104" i="20"/>
  <c r="A104" i="20"/>
  <c r="M104" i="20" s="1"/>
  <c r="Y104" i="20" s="1"/>
  <c r="AJ103" i="20"/>
  <c r="AI103" i="20"/>
  <c r="AH103" i="20"/>
  <c r="AG103" i="20"/>
  <c r="AF103" i="20"/>
  <c r="AE103" i="20"/>
  <c r="AD103" i="20"/>
  <c r="AC103" i="20"/>
  <c r="AB103" i="20"/>
  <c r="AA103" i="20"/>
  <c r="Z103" i="20"/>
  <c r="X103" i="20"/>
  <c r="W103" i="20"/>
  <c r="V103" i="20"/>
  <c r="U103" i="20"/>
  <c r="T103" i="20"/>
  <c r="S103" i="20"/>
  <c r="R103" i="20"/>
  <c r="Q103" i="20"/>
  <c r="P103" i="20"/>
  <c r="O103" i="20"/>
  <c r="N103" i="20"/>
  <c r="L103" i="20"/>
  <c r="K103" i="20"/>
  <c r="J103" i="20"/>
  <c r="I103" i="20"/>
  <c r="H103" i="20"/>
  <c r="G103" i="20"/>
  <c r="F103" i="20"/>
  <c r="E103" i="20"/>
  <c r="D103" i="20"/>
  <c r="C103" i="20"/>
  <c r="B103" i="20"/>
  <c r="A103" i="20"/>
  <c r="M103" i="20" s="1"/>
  <c r="Y103" i="20" s="1"/>
  <c r="AJ102" i="20"/>
  <c r="AI102" i="20"/>
  <c r="AH102" i="20"/>
  <c r="AG102" i="20"/>
  <c r="AF102" i="20"/>
  <c r="AE102" i="20"/>
  <c r="AD102" i="20"/>
  <c r="AC102" i="20"/>
  <c r="AB102" i="20"/>
  <c r="AA102" i="20"/>
  <c r="Z102" i="20"/>
  <c r="X102" i="20"/>
  <c r="W102" i="20"/>
  <c r="V102" i="20"/>
  <c r="U102" i="20"/>
  <c r="T102" i="20"/>
  <c r="S102" i="20"/>
  <c r="R102" i="20"/>
  <c r="Q102" i="20"/>
  <c r="P102" i="20"/>
  <c r="O102" i="20"/>
  <c r="N102" i="20"/>
  <c r="L102" i="20"/>
  <c r="K102" i="20"/>
  <c r="J102" i="20"/>
  <c r="I102" i="20"/>
  <c r="H102" i="20"/>
  <c r="G102" i="20"/>
  <c r="F102" i="20"/>
  <c r="E102" i="20"/>
  <c r="D102" i="20"/>
  <c r="C102" i="20"/>
  <c r="B102" i="20"/>
  <c r="A102" i="20"/>
  <c r="M102" i="20" s="1"/>
  <c r="Y102" i="20" s="1"/>
  <c r="AJ101" i="20"/>
  <c r="AI101" i="20"/>
  <c r="AH101" i="20"/>
  <c r="AG101" i="20"/>
  <c r="AF101" i="20"/>
  <c r="AE101" i="20"/>
  <c r="AD101" i="20"/>
  <c r="AC101" i="20"/>
  <c r="AB101" i="20"/>
  <c r="AA101" i="20"/>
  <c r="Z101" i="20"/>
  <c r="X101" i="20"/>
  <c r="W101" i="20"/>
  <c r="V101" i="20"/>
  <c r="U101" i="20"/>
  <c r="T101" i="20"/>
  <c r="S101" i="20"/>
  <c r="R101" i="20"/>
  <c r="Q101" i="20"/>
  <c r="P101" i="20"/>
  <c r="O101" i="20"/>
  <c r="N101" i="20"/>
  <c r="L101" i="20"/>
  <c r="K101" i="20"/>
  <c r="J101" i="20"/>
  <c r="I101" i="20"/>
  <c r="H101" i="20"/>
  <c r="G101" i="20"/>
  <c r="F101" i="20"/>
  <c r="E101" i="20"/>
  <c r="D101" i="20"/>
  <c r="C101" i="20"/>
  <c r="B101" i="20"/>
  <c r="A101" i="20"/>
  <c r="M101" i="20" s="1"/>
  <c r="Y101" i="20" s="1"/>
  <c r="AJ100" i="20"/>
  <c r="AI100" i="20"/>
  <c r="AH100" i="20"/>
  <c r="AG100" i="20"/>
  <c r="AF100" i="20"/>
  <c r="AE100" i="20"/>
  <c r="AD100" i="20"/>
  <c r="AC100" i="20"/>
  <c r="AB100" i="20"/>
  <c r="AA100" i="20"/>
  <c r="Z100" i="20"/>
  <c r="X100" i="20"/>
  <c r="W100" i="20"/>
  <c r="V100" i="20"/>
  <c r="U100" i="20"/>
  <c r="T100" i="20"/>
  <c r="S100" i="20"/>
  <c r="R100" i="20"/>
  <c r="Q100" i="20"/>
  <c r="P100" i="20"/>
  <c r="O100" i="20"/>
  <c r="N100" i="20"/>
  <c r="L100" i="20"/>
  <c r="K100" i="20"/>
  <c r="J100" i="20"/>
  <c r="I100" i="20"/>
  <c r="H100" i="20"/>
  <c r="G100" i="20"/>
  <c r="F100" i="20"/>
  <c r="E100" i="20"/>
  <c r="D100" i="20"/>
  <c r="C100" i="20"/>
  <c r="B100" i="20"/>
  <c r="A100" i="20"/>
  <c r="M100" i="20" s="1"/>
  <c r="Y100" i="20" s="1"/>
  <c r="AJ99" i="20"/>
  <c r="AI99" i="20"/>
  <c r="AH99" i="20"/>
  <c r="AG99" i="20"/>
  <c r="AF99" i="20"/>
  <c r="AE99" i="20"/>
  <c r="AD99" i="20"/>
  <c r="AC99" i="20"/>
  <c r="AB99" i="20"/>
  <c r="AA99" i="20"/>
  <c r="Z99" i="20"/>
  <c r="X99" i="20"/>
  <c r="W99" i="20"/>
  <c r="V99" i="20"/>
  <c r="U99" i="20"/>
  <c r="T99" i="20"/>
  <c r="S99" i="20"/>
  <c r="R99" i="20"/>
  <c r="Q99" i="20"/>
  <c r="P99" i="20"/>
  <c r="O99" i="20"/>
  <c r="N99" i="20"/>
  <c r="L99" i="20"/>
  <c r="K99" i="20"/>
  <c r="J99" i="20"/>
  <c r="I99" i="20"/>
  <c r="H99" i="20"/>
  <c r="G99" i="20"/>
  <c r="F99" i="20"/>
  <c r="E99" i="20"/>
  <c r="D99" i="20"/>
  <c r="C99" i="20"/>
  <c r="B99" i="20"/>
  <c r="A99" i="20"/>
  <c r="M99" i="20" s="1"/>
  <c r="Y99" i="20" s="1"/>
  <c r="AJ98" i="20"/>
  <c r="AI98" i="20"/>
  <c r="AH98" i="20"/>
  <c r="AG98" i="20"/>
  <c r="AF98" i="20"/>
  <c r="AE98" i="20"/>
  <c r="AD98" i="20"/>
  <c r="AC98" i="20"/>
  <c r="AB98" i="20"/>
  <c r="AA98" i="20"/>
  <c r="Z98" i="20"/>
  <c r="X98" i="20"/>
  <c r="W98" i="20"/>
  <c r="V98" i="20"/>
  <c r="U98" i="20"/>
  <c r="T98" i="20"/>
  <c r="S98" i="20"/>
  <c r="R98" i="20"/>
  <c r="Q98" i="20"/>
  <c r="P98" i="20"/>
  <c r="O98" i="20"/>
  <c r="N98" i="20"/>
  <c r="L98" i="20"/>
  <c r="K98" i="20"/>
  <c r="J98" i="20"/>
  <c r="I98" i="20"/>
  <c r="H98" i="20"/>
  <c r="G98" i="20"/>
  <c r="F98" i="20"/>
  <c r="E98" i="20"/>
  <c r="D98" i="20"/>
  <c r="C98" i="20"/>
  <c r="B98" i="20"/>
  <c r="A98" i="20"/>
  <c r="M98" i="20" s="1"/>
  <c r="Y98" i="20" s="1"/>
  <c r="AJ97" i="20"/>
  <c r="AI97" i="20"/>
  <c r="AH97" i="20"/>
  <c r="AG97" i="20"/>
  <c r="AF97" i="20"/>
  <c r="AE97" i="20"/>
  <c r="AD97" i="20"/>
  <c r="AC97" i="20"/>
  <c r="AB97" i="20"/>
  <c r="AA97" i="20"/>
  <c r="Z97" i="20"/>
  <c r="X97" i="20"/>
  <c r="W97" i="20"/>
  <c r="V97" i="20"/>
  <c r="U97" i="20"/>
  <c r="T97" i="20"/>
  <c r="S97" i="20"/>
  <c r="R97" i="20"/>
  <c r="Q97" i="20"/>
  <c r="P97" i="20"/>
  <c r="O97" i="20"/>
  <c r="N97" i="20"/>
  <c r="L97" i="20"/>
  <c r="K97" i="20"/>
  <c r="J97" i="20"/>
  <c r="I97" i="20"/>
  <c r="H97" i="20"/>
  <c r="G97" i="20"/>
  <c r="F97" i="20"/>
  <c r="E97" i="20"/>
  <c r="D97" i="20"/>
  <c r="C97" i="20"/>
  <c r="B97" i="20"/>
  <c r="A97" i="20"/>
  <c r="M97" i="20" s="1"/>
  <c r="Y97" i="20" s="1"/>
  <c r="AJ96" i="20"/>
  <c r="AI96" i="20"/>
  <c r="AH96" i="20"/>
  <c r="AG96" i="20"/>
  <c r="AF96" i="20"/>
  <c r="AE96" i="20"/>
  <c r="AD96" i="20"/>
  <c r="AC96" i="20"/>
  <c r="AB96" i="20"/>
  <c r="AA96" i="20"/>
  <c r="Z96" i="20"/>
  <c r="X96" i="20"/>
  <c r="W96" i="20"/>
  <c r="V96" i="20"/>
  <c r="U96" i="20"/>
  <c r="T96" i="20"/>
  <c r="S96" i="20"/>
  <c r="R96" i="20"/>
  <c r="Q96" i="20"/>
  <c r="P96" i="20"/>
  <c r="O96" i="20"/>
  <c r="N96" i="20"/>
  <c r="L96" i="20"/>
  <c r="K96" i="20"/>
  <c r="J96" i="20"/>
  <c r="I96" i="20"/>
  <c r="H96" i="20"/>
  <c r="G96" i="20"/>
  <c r="F96" i="20"/>
  <c r="E96" i="20"/>
  <c r="D96" i="20"/>
  <c r="C96" i="20"/>
  <c r="B96" i="20"/>
  <c r="A96" i="20"/>
  <c r="M96" i="20" s="1"/>
  <c r="Y96" i="20" s="1"/>
  <c r="AJ95" i="20"/>
  <c r="AI95" i="20"/>
  <c r="AH95" i="20"/>
  <c r="AG95" i="20"/>
  <c r="AF95" i="20"/>
  <c r="AE95" i="20"/>
  <c r="AD95" i="20"/>
  <c r="AC95" i="20"/>
  <c r="AB95" i="20"/>
  <c r="AA95" i="20"/>
  <c r="Z95" i="20"/>
  <c r="X95" i="20"/>
  <c r="W95" i="20"/>
  <c r="V95" i="20"/>
  <c r="U95" i="20"/>
  <c r="T95" i="20"/>
  <c r="S95" i="20"/>
  <c r="R95" i="20"/>
  <c r="Q95" i="20"/>
  <c r="P95" i="20"/>
  <c r="O95" i="20"/>
  <c r="N95" i="20"/>
  <c r="L95" i="20"/>
  <c r="K95" i="20"/>
  <c r="J95" i="20"/>
  <c r="I95" i="20"/>
  <c r="H95" i="20"/>
  <c r="G95" i="20"/>
  <c r="F95" i="20"/>
  <c r="E95" i="20"/>
  <c r="D95" i="20"/>
  <c r="C95" i="20"/>
  <c r="B95" i="20"/>
  <c r="A95" i="20"/>
  <c r="M95" i="20" s="1"/>
  <c r="Y95" i="20" s="1"/>
  <c r="AJ94" i="20"/>
  <c r="AI94" i="20"/>
  <c r="AH94" i="20"/>
  <c r="AG94" i="20"/>
  <c r="AF94" i="20"/>
  <c r="AE94" i="20"/>
  <c r="AD94" i="20"/>
  <c r="AC94" i="20"/>
  <c r="AB94" i="20"/>
  <c r="AA94" i="20"/>
  <c r="Z94" i="20"/>
  <c r="X94" i="20"/>
  <c r="W94" i="20"/>
  <c r="V94" i="20"/>
  <c r="U94" i="20"/>
  <c r="T94" i="20"/>
  <c r="S94" i="20"/>
  <c r="R94" i="20"/>
  <c r="Q94" i="20"/>
  <c r="P94" i="20"/>
  <c r="O94" i="20"/>
  <c r="N94" i="20"/>
  <c r="L94" i="20"/>
  <c r="K94" i="20"/>
  <c r="J94" i="20"/>
  <c r="I94" i="20"/>
  <c r="H94" i="20"/>
  <c r="G94" i="20"/>
  <c r="F94" i="20"/>
  <c r="E94" i="20"/>
  <c r="D94" i="20"/>
  <c r="C94" i="20"/>
  <c r="B94" i="20"/>
  <c r="A94" i="20"/>
  <c r="M94" i="20" s="1"/>
  <c r="Y94" i="20" s="1"/>
  <c r="AJ93" i="20"/>
  <c r="AI93" i="20"/>
  <c r="AH93" i="20"/>
  <c r="AG93" i="20"/>
  <c r="AF93" i="20"/>
  <c r="AE93" i="20"/>
  <c r="AD93" i="20"/>
  <c r="AC93" i="20"/>
  <c r="AB93" i="20"/>
  <c r="AA93" i="20"/>
  <c r="Z93" i="20"/>
  <c r="X93" i="20"/>
  <c r="W93" i="20"/>
  <c r="V93" i="20"/>
  <c r="U93" i="20"/>
  <c r="T93" i="20"/>
  <c r="S93" i="20"/>
  <c r="R93" i="20"/>
  <c r="Q93" i="20"/>
  <c r="P93" i="20"/>
  <c r="O93" i="20"/>
  <c r="N93" i="20"/>
  <c r="L93" i="20"/>
  <c r="K93" i="20"/>
  <c r="J93" i="20"/>
  <c r="I93" i="20"/>
  <c r="H93" i="20"/>
  <c r="G93" i="20"/>
  <c r="F93" i="20"/>
  <c r="E93" i="20"/>
  <c r="D93" i="20"/>
  <c r="C93" i="20"/>
  <c r="B93" i="20"/>
  <c r="A93" i="20"/>
  <c r="M93" i="20" s="1"/>
  <c r="Y93" i="20" s="1"/>
  <c r="AJ92" i="20"/>
  <c r="AI92" i="20"/>
  <c r="AH92" i="20"/>
  <c r="AG92" i="20"/>
  <c r="AF92" i="20"/>
  <c r="AE92" i="20"/>
  <c r="AD92" i="20"/>
  <c r="AC92" i="20"/>
  <c r="AB92" i="20"/>
  <c r="AA92" i="20"/>
  <c r="Z92" i="20"/>
  <c r="X92" i="20"/>
  <c r="W92" i="20"/>
  <c r="V92" i="20"/>
  <c r="U92" i="20"/>
  <c r="T92" i="20"/>
  <c r="S92" i="20"/>
  <c r="R92" i="20"/>
  <c r="Q92" i="20"/>
  <c r="P92" i="20"/>
  <c r="O92" i="20"/>
  <c r="N92" i="20"/>
  <c r="L92" i="20"/>
  <c r="K92" i="20"/>
  <c r="J92" i="20"/>
  <c r="I92" i="20"/>
  <c r="H92" i="20"/>
  <c r="G92" i="20"/>
  <c r="F92" i="20"/>
  <c r="E92" i="20"/>
  <c r="D92" i="20"/>
  <c r="C92" i="20"/>
  <c r="B92" i="20"/>
  <c r="A92" i="20"/>
  <c r="M92" i="20" s="1"/>
  <c r="Y92" i="20" s="1"/>
  <c r="AJ91" i="20"/>
  <c r="AI91" i="20"/>
  <c r="AH91" i="20"/>
  <c r="AG91" i="20"/>
  <c r="AF91" i="20"/>
  <c r="AE91" i="20"/>
  <c r="AD91" i="20"/>
  <c r="AC91" i="20"/>
  <c r="AB91" i="20"/>
  <c r="AA91" i="20"/>
  <c r="Z91" i="20"/>
  <c r="X91" i="20"/>
  <c r="W91" i="20"/>
  <c r="V91" i="20"/>
  <c r="U91" i="20"/>
  <c r="T91" i="20"/>
  <c r="S91" i="20"/>
  <c r="R91" i="20"/>
  <c r="Q91" i="20"/>
  <c r="P91" i="20"/>
  <c r="O91" i="20"/>
  <c r="N91" i="20"/>
  <c r="L91" i="20"/>
  <c r="K91" i="20"/>
  <c r="J91" i="20"/>
  <c r="I91" i="20"/>
  <c r="H91" i="20"/>
  <c r="G91" i="20"/>
  <c r="F91" i="20"/>
  <c r="E91" i="20"/>
  <c r="D91" i="20"/>
  <c r="C91" i="20"/>
  <c r="B91" i="20"/>
  <c r="A91" i="20"/>
  <c r="M91" i="20" s="1"/>
  <c r="Y91" i="20" s="1"/>
  <c r="AJ90" i="20"/>
  <c r="AI90" i="20"/>
  <c r="AH90" i="20"/>
  <c r="AG90" i="20"/>
  <c r="AF90" i="20"/>
  <c r="AE90" i="20"/>
  <c r="AD90" i="20"/>
  <c r="AC90" i="20"/>
  <c r="AB90" i="20"/>
  <c r="AA90" i="20"/>
  <c r="Z90" i="20"/>
  <c r="X90" i="20"/>
  <c r="W90" i="20"/>
  <c r="V90" i="20"/>
  <c r="U90" i="20"/>
  <c r="T90" i="20"/>
  <c r="S90" i="20"/>
  <c r="R90" i="20"/>
  <c r="Q90" i="20"/>
  <c r="P90" i="20"/>
  <c r="O90" i="20"/>
  <c r="N90" i="20"/>
  <c r="L90" i="20"/>
  <c r="K90" i="20"/>
  <c r="J90" i="20"/>
  <c r="I90" i="20"/>
  <c r="H90" i="20"/>
  <c r="G90" i="20"/>
  <c r="F90" i="20"/>
  <c r="E90" i="20"/>
  <c r="D90" i="20"/>
  <c r="C90" i="20"/>
  <c r="B90" i="20"/>
  <c r="A90" i="20"/>
  <c r="M90" i="20" s="1"/>
  <c r="Y90" i="20" s="1"/>
  <c r="AJ89" i="20"/>
  <c r="AI89" i="20"/>
  <c r="AH89" i="20"/>
  <c r="AG89" i="20"/>
  <c r="AF89" i="20"/>
  <c r="AE89" i="20"/>
  <c r="AD89" i="20"/>
  <c r="AC89" i="20"/>
  <c r="AB89" i="20"/>
  <c r="AA89" i="20"/>
  <c r="Z89" i="20"/>
  <c r="X89" i="20"/>
  <c r="W89" i="20"/>
  <c r="V89" i="20"/>
  <c r="U89" i="20"/>
  <c r="T89" i="20"/>
  <c r="S89" i="20"/>
  <c r="R89" i="20"/>
  <c r="Q89" i="20"/>
  <c r="P89" i="20"/>
  <c r="O89" i="20"/>
  <c r="N89" i="20"/>
  <c r="L89" i="20"/>
  <c r="K89" i="20"/>
  <c r="J89" i="20"/>
  <c r="I89" i="20"/>
  <c r="H89" i="20"/>
  <c r="G89" i="20"/>
  <c r="F89" i="20"/>
  <c r="E89" i="20"/>
  <c r="D89" i="20"/>
  <c r="C89" i="20"/>
  <c r="B89" i="20"/>
  <c r="A89" i="20"/>
  <c r="M89" i="20" s="1"/>
  <c r="Y89" i="20" s="1"/>
  <c r="AJ88" i="20"/>
  <c r="AI88" i="20"/>
  <c r="AH88" i="20"/>
  <c r="AG88" i="20"/>
  <c r="AF88" i="20"/>
  <c r="AE88" i="20"/>
  <c r="AD88" i="20"/>
  <c r="AC88" i="20"/>
  <c r="AB88" i="20"/>
  <c r="AA88" i="20"/>
  <c r="Z88" i="20"/>
  <c r="X88" i="20"/>
  <c r="W88" i="20"/>
  <c r="V88" i="20"/>
  <c r="U88" i="20"/>
  <c r="T88" i="20"/>
  <c r="S88" i="20"/>
  <c r="R88" i="20"/>
  <c r="Q88" i="20"/>
  <c r="P88" i="20"/>
  <c r="O88" i="20"/>
  <c r="N88" i="20"/>
  <c r="L88" i="20"/>
  <c r="K88" i="20"/>
  <c r="J88" i="20"/>
  <c r="I88" i="20"/>
  <c r="H88" i="20"/>
  <c r="G88" i="20"/>
  <c r="F88" i="20"/>
  <c r="E88" i="20"/>
  <c r="D88" i="20"/>
  <c r="C88" i="20"/>
  <c r="B88" i="20"/>
  <c r="A88" i="20"/>
  <c r="M88" i="20" s="1"/>
  <c r="Y88" i="20" s="1"/>
  <c r="AJ87" i="20"/>
  <c r="AI87" i="20"/>
  <c r="AH87" i="20"/>
  <c r="AG87" i="20"/>
  <c r="AF87" i="20"/>
  <c r="AE87" i="20"/>
  <c r="AD87" i="20"/>
  <c r="AC87" i="20"/>
  <c r="AB87" i="20"/>
  <c r="AA87" i="20"/>
  <c r="Z87" i="20"/>
  <c r="X87" i="20"/>
  <c r="W87" i="20"/>
  <c r="V87" i="20"/>
  <c r="U87" i="20"/>
  <c r="T87" i="20"/>
  <c r="S87" i="20"/>
  <c r="R87" i="20"/>
  <c r="Q87" i="20"/>
  <c r="P87" i="20"/>
  <c r="O87" i="20"/>
  <c r="N87" i="20"/>
  <c r="L87" i="20"/>
  <c r="K87" i="20"/>
  <c r="J87" i="20"/>
  <c r="I87" i="20"/>
  <c r="H87" i="20"/>
  <c r="G87" i="20"/>
  <c r="F87" i="20"/>
  <c r="E87" i="20"/>
  <c r="D87" i="20"/>
  <c r="C87" i="20"/>
  <c r="B87" i="20"/>
  <c r="A87" i="20"/>
  <c r="M87" i="20" s="1"/>
  <c r="Y87" i="20" s="1"/>
  <c r="AJ86" i="20"/>
  <c r="AI86" i="20"/>
  <c r="AH86" i="20"/>
  <c r="AG86" i="20"/>
  <c r="AF86" i="20"/>
  <c r="AE86" i="20"/>
  <c r="AD86" i="20"/>
  <c r="AC86" i="20"/>
  <c r="AB86" i="20"/>
  <c r="AA86" i="20"/>
  <c r="Z86" i="20"/>
  <c r="X86" i="20"/>
  <c r="W86" i="20"/>
  <c r="V86" i="20"/>
  <c r="U86" i="20"/>
  <c r="T86" i="20"/>
  <c r="S86" i="20"/>
  <c r="R86" i="20"/>
  <c r="Q86" i="20"/>
  <c r="P86" i="20"/>
  <c r="O86" i="20"/>
  <c r="N86" i="20"/>
  <c r="L86" i="20"/>
  <c r="K86" i="20"/>
  <c r="J86" i="20"/>
  <c r="I86" i="20"/>
  <c r="H86" i="20"/>
  <c r="G86" i="20"/>
  <c r="F86" i="20"/>
  <c r="E86" i="20"/>
  <c r="D86" i="20"/>
  <c r="C86" i="20"/>
  <c r="B86" i="20"/>
  <c r="A86" i="20"/>
  <c r="M86" i="20" s="1"/>
  <c r="Y86" i="20" s="1"/>
  <c r="AJ85" i="20"/>
  <c r="AI85" i="20"/>
  <c r="AH85" i="20"/>
  <c r="AG85" i="20"/>
  <c r="AF85" i="20"/>
  <c r="AE85" i="20"/>
  <c r="AD85" i="20"/>
  <c r="AC85" i="20"/>
  <c r="AB85" i="20"/>
  <c r="AA85" i="20"/>
  <c r="Z85" i="20"/>
  <c r="X85" i="20"/>
  <c r="W85" i="20"/>
  <c r="V85" i="20"/>
  <c r="U85" i="20"/>
  <c r="T85" i="20"/>
  <c r="S85" i="20"/>
  <c r="R85" i="20"/>
  <c r="Q85" i="20"/>
  <c r="P85" i="20"/>
  <c r="O85" i="20"/>
  <c r="N85" i="20"/>
  <c r="L85" i="20"/>
  <c r="K85" i="20"/>
  <c r="J85" i="20"/>
  <c r="I85" i="20"/>
  <c r="H85" i="20"/>
  <c r="G85" i="20"/>
  <c r="F85" i="20"/>
  <c r="E85" i="20"/>
  <c r="D85" i="20"/>
  <c r="C85" i="20"/>
  <c r="B85" i="20"/>
  <c r="A85" i="20"/>
  <c r="M85" i="20" s="1"/>
  <c r="Y85" i="20" s="1"/>
  <c r="AJ84" i="20"/>
  <c r="AI84" i="20"/>
  <c r="AH84" i="20"/>
  <c r="AG84" i="20"/>
  <c r="AF84" i="20"/>
  <c r="AE84" i="20"/>
  <c r="AD84" i="20"/>
  <c r="AC84" i="20"/>
  <c r="AB84" i="20"/>
  <c r="AA84" i="20"/>
  <c r="Z84" i="20"/>
  <c r="X84" i="20"/>
  <c r="W84" i="20"/>
  <c r="V84" i="20"/>
  <c r="U84" i="20"/>
  <c r="T84" i="20"/>
  <c r="S84" i="20"/>
  <c r="R84" i="20"/>
  <c r="Q84" i="20"/>
  <c r="P84" i="20"/>
  <c r="O84" i="20"/>
  <c r="N84" i="20"/>
  <c r="L84" i="20"/>
  <c r="K84" i="20"/>
  <c r="J84" i="20"/>
  <c r="I84" i="20"/>
  <c r="H84" i="20"/>
  <c r="G84" i="20"/>
  <c r="F84" i="20"/>
  <c r="E84" i="20"/>
  <c r="D84" i="20"/>
  <c r="C84" i="20"/>
  <c r="B84" i="20"/>
  <c r="A84" i="20"/>
  <c r="M84" i="20" s="1"/>
  <c r="Y84" i="20" s="1"/>
  <c r="AJ83" i="20"/>
  <c r="AI83" i="20"/>
  <c r="AH83" i="20"/>
  <c r="AG83" i="20"/>
  <c r="AF83" i="20"/>
  <c r="AE83" i="20"/>
  <c r="AD83" i="20"/>
  <c r="AC83" i="20"/>
  <c r="AB83" i="20"/>
  <c r="AA83" i="20"/>
  <c r="Z83" i="20"/>
  <c r="X83" i="20"/>
  <c r="W83" i="20"/>
  <c r="V83" i="20"/>
  <c r="U83" i="20"/>
  <c r="T83" i="20"/>
  <c r="S83" i="20"/>
  <c r="R83" i="20"/>
  <c r="Q83" i="20"/>
  <c r="P83" i="20"/>
  <c r="O83" i="20"/>
  <c r="N83" i="20"/>
  <c r="L83" i="20"/>
  <c r="K83" i="20"/>
  <c r="J83" i="20"/>
  <c r="I83" i="20"/>
  <c r="H83" i="20"/>
  <c r="G83" i="20"/>
  <c r="F83" i="20"/>
  <c r="E83" i="20"/>
  <c r="D83" i="20"/>
  <c r="C83" i="20"/>
  <c r="B83" i="20"/>
  <c r="A83" i="20"/>
  <c r="M83" i="20" s="1"/>
  <c r="Y83" i="20" s="1"/>
  <c r="AJ82" i="20"/>
  <c r="AI82" i="20"/>
  <c r="AH82" i="20"/>
  <c r="AG82" i="20"/>
  <c r="AF82" i="20"/>
  <c r="AE82" i="20"/>
  <c r="AD82" i="20"/>
  <c r="AC82" i="20"/>
  <c r="AB82" i="20"/>
  <c r="AA82" i="20"/>
  <c r="Z82" i="20"/>
  <c r="X82" i="20"/>
  <c r="W82" i="20"/>
  <c r="V82" i="20"/>
  <c r="U82" i="20"/>
  <c r="T82" i="20"/>
  <c r="S82" i="20"/>
  <c r="R82" i="20"/>
  <c r="Q82" i="20"/>
  <c r="P82" i="20"/>
  <c r="O82" i="20"/>
  <c r="N82" i="20"/>
  <c r="L82" i="20"/>
  <c r="K82" i="20"/>
  <c r="J82" i="20"/>
  <c r="I82" i="20"/>
  <c r="H82" i="20"/>
  <c r="G82" i="20"/>
  <c r="F82" i="20"/>
  <c r="E82" i="20"/>
  <c r="D82" i="20"/>
  <c r="C82" i="20"/>
  <c r="B82" i="20"/>
  <c r="A82" i="20"/>
  <c r="M82" i="20" s="1"/>
  <c r="Y82" i="20" s="1"/>
  <c r="AJ81" i="20"/>
  <c r="AI81" i="20"/>
  <c r="AH81" i="20"/>
  <c r="AG81" i="20"/>
  <c r="AF81" i="20"/>
  <c r="AE81" i="20"/>
  <c r="AD81" i="20"/>
  <c r="AC81" i="20"/>
  <c r="AB81" i="20"/>
  <c r="AA81" i="20"/>
  <c r="Z81" i="20"/>
  <c r="X81" i="20"/>
  <c r="W81" i="20"/>
  <c r="V81" i="20"/>
  <c r="U81" i="20"/>
  <c r="T81" i="20"/>
  <c r="S81" i="20"/>
  <c r="R81" i="20"/>
  <c r="Q81" i="20"/>
  <c r="P81" i="20"/>
  <c r="O81" i="20"/>
  <c r="N81" i="20"/>
  <c r="L81" i="20"/>
  <c r="K81" i="20"/>
  <c r="J81" i="20"/>
  <c r="I81" i="20"/>
  <c r="H81" i="20"/>
  <c r="G81" i="20"/>
  <c r="F81" i="20"/>
  <c r="E81" i="20"/>
  <c r="D81" i="20"/>
  <c r="C81" i="20"/>
  <c r="B81" i="20"/>
  <c r="A81" i="20"/>
  <c r="M81" i="20" s="1"/>
  <c r="Y81" i="20" s="1"/>
  <c r="AJ80" i="20"/>
  <c r="AI80" i="20"/>
  <c r="AH80" i="20"/>
  <c r="AG80" i="20"/>
  <c r="AF80" i="20"/>
  <c r="AE80" i="20"/>
  <c r="AD80" i="20"/>
  <c r="AC80" i="20"/>
  <c r="AB80" i="20"/>
  <c r="AA80" i="20"/>
  <c r="Z80" i="20"/>
  <c r="X80" i="20"/>
  <c r="W80" i="20"/>
  <c r="V80" i="20"/>
  <c r="U80" i="20"/>
  <c r="T80" i="20"/>
  <c r="S80" i="20"/>
  <c r="R80" i="20"/>
  <c r="Q80" i="20"/>
  <c r="P80" i="20"/>
  <c r="O80" i="20"/>
  <c r="N80" i="20"/>
  <c r="L80" i="20"/>
  <c r="K80" i="20"/>
  <c r="J80" i="20"/>
  <c r="I80" i="20"/>
  <c r="H80" i="20"/>
  <c r="G80" i="20"/>
  <c r="F80" i="20"/>
  <c r="E80" i="20"/>
  <c r="D80" i="20"/>
  <c r="C80" i="20"/>
  <c r="B80" i="20"/>
  <c r="A80" i="20"/>
  <c r="M80" i="20" s="1"/>
  <c r="Y80" i="20" s="1"/>
  <c r="AJ79" i="20"/>
  <c r="AI79" i="20"/>
  <c r="AH79" i="20"/>
  <c r="AG79" i="20"/>
  <c r="AF79" i="20"/>
  <c r="AE79" i="20"/>
  <c r="AD79" i="20"/>
  <c r="AC79" i="20"/>
  <c r="AB79" i="20"/>
  <c r="AA79" i="20"/>
  <c r="Z79" i="20"/>
  <c r="X79" i="20"/>
  <c r="W79" i="20"/>
  <c r="V79" i="20"/>
  <c r="U79" i="20"/>
  <c r="T79" i="20"/>
  <c r="S79" i="20"/>
  <c r="R79" i="20"/>
  <c r="Q79" i="20"/>
  <c r="P79" i="20"/>
  <c r="O79" i="20"/>
  <c r="N79" i="20"/>
  <c r="L79" i="20"/>
  <c r="K79" i="20"/>
  <c r="J79" i="20"/>
  <c r="I79" i="20"/>
  <c r="H79" i="20"/>
  <c r="G79" i="20"/>
  <c r="F79" i="20"/>
  <c r="E79" i="20"/>
  <c r="D79" i="20"/>
  <c r="C79" i="20"/>
  <c r="B79" i="20"/>
  <c r="A79" i="20"/>
  <c r="M79" i="20" s="1"/>
  <c r="Y79" i="20" s="1"/>
  <c r="AJ78" i="20"/>
  <c r="AI78" i="20"/>
  <c r="AH78" i="20"/>
  <c r="AG78" i="20"/>
  <c r="AF78" i="20"/>
  <c r="AE78" i="20"/>
  <c r="AD78" i="20"/>
  <c r="AC78" i="20"/>
  <c r="AB78" i="20"/>
  <c r="AA78" i="20"/>
  <c r="Z78" i="20"/>
  <c r="X78" i="20"/>
  <c r="W78" i="20"/>
  <c r="V78" i="20"/>
  <c r="U78" i="20"/>
  <c r="T78" i="20"/>
  <c r="S78" i="20"/>
  <c r="R78" i="20"/>
  <c r="Q78" i="20"/>
  <c r="P78" i="20"/>
  <c r="O78" i="20"/>
  <c r="N78" i="20"/>
  <c r="L78" i="20"/>
  <c r="K78" i="20"/>
  <c r="J78" i="20"/>
  <c r="I78" i="20"/>
  <c r="H78" i="20"/>
  <c r="G78" i="20"/>
  <c r="F78" i="20"/>
  <c r="E78" i="20"/>
  <c r="D78" i="20"/>
  <c r="C78" i="20"/>
  <c r="B78" i="20"/>
  <c r="A78" i="20"/>
  <c r="M78" i="20" s="1"/>
  <c r="Y78" i="20" s="1"/>
  <c r="AJ77" i="20"/>
  <c r="AI77" i="20"/>
  <c r="AH77" i="20"/>
  <c r="AG77" i="20"/>
  <c r="AF77" i="20"/>
  <c r="AE77" i="20"/>
  <c r="AD77" i="20"/>
  <c r="AC77" i="20"/>
  <c r="AB77" i="20"/>
  <c r="AA77" i="20"/>
  <c r="Z77" i="20"/>
  <c r="X77" i="20"/>
  <c r="W77" i="20"/>
  <c r="V77" i="20"/>
  <c r="U77" i="20"/>
  <c r="T77" i="20"/>
  <c r="S77" i="20"/>
  <c r="R77" i="20"/>
  <c r="Q77" i="20"/>
  <c r="P77" i="20"/>
  <c r="O77" i="20"/>
  <c r="N77" i="20"/>
  <c r="L77" i="20"/>
  <c r="K77" i="20"/>
  <c r="J77" i="20"/>
  <c r="I77" i="20"/>
  <c r="H77" i="20"/>
  <c r="G77" i="20"/>
  <c r="F77" i="20"/>
  <c r="E77" i="20"/>
  <c r="D77" i="20"/>
  <c r="C77" i="20"/>
  <c r="B77" i="20"/>
  <c r="A77" i="20"/>
  <c r="M77" i="20" s="1"/>
  <c r="Y77" i="20" s="1"/>
  <c r="AJ76" i="20"/>
  <c r="AI76" i="20"/>
  <c r="AH76" i="20"/>
  <c r="AG76" i="20"/>
  <c r="AF76" i="20"/>
  <c r="AE76" i="20"/>
  <c r="AD76" i="20"/>
  <c r="AC76" i="20"/>
  <c r="AB76" i="20"/>
  <c r="AA76" i="20"/>
  <c r="Z76" i="20"/>
  <c r="X76" i="20"/>
  <c r="W76" i="20"/>
  <c r="V76" i="20"/>
  <c r="U76" i="20"/>
  <c r="T76" i="20"/>
  <c r="S76" i="20"/>
  <c r="R76" i="20"/>
  <c r="Q76" i="20"/>
  <c r="P76" i="20"/>
  <c r="O76" i="20"/>
  <c r="N76" i="20"/>
  <c r="L76" i="20"/>
  <c r="K76" i="20"/>
  <c r="J76" i="20"/>
  <c r="I76" i="20"/>
  <c r="H76" i="20"/>
  <c r="G76" i="20"/>
  <c r="F76" i="20"/>
  <c r="E76" i="20"/>
  <c r="D76" i="20"/>
  <c r="C76" i="20"/>
  <c r="B76" i="20"/>
  <c r="A76" i="20"/>
  <c r="M76" i="20" s="1"/>
  <c r="Y76" i="20" s="1"/>
  <c r="AJ75" i="20"/>
  <c r="AI75" i="20"/>
  <c r="AH75" i="20"/>
  <c r="AG75" i="20"/>
  <c r="AF75" i="20"/>
  <c r="AE75" i="20"/>
  <c r="AD75" i="20"/>
  <c r="AC75" i="20"/>
  <c r="AB75" i="20"/>
  <c r="AA75" i="20"/>
  <c r="Z75" i="20"/>
  <c r="X75" i="20"/>
  <c r="W75" i="20"/>
  <c r="V75" i="20"/>
  <c r="U75" i="20"/>
  <c r="T75" i="20"/>
  <c r="S75" i="20"/>
  <c r="R75" i="20"/>
  <c r="Q75" i="20"/>
  <c r="P75" i="20"/>
  <c r="O75" i="20"/>
  <c r="N75" i="20"/>
  <c r="L75" i="20"/>
  <c r="K75" i="20"/>
  <c r="J75" i="20"/>
  <c r="I75" i="20"/>
  <c r="H75" i="20"/>
  <c r="G75" i="20"/>
  <c r="F75" i="20"/>
  <c r="E75" i="20"/>
  <c r="D75" i="20"/>
  <c r="C75" i="20"/>
  <c r="B75" i="20"/>
  <c r="A75" i="20"/>
  <c r="M75" i="20" s="1"/>
  <c r="Y75" i="20" s="1"/>
  <c r="AJ74" i="20"/>
  <c r="AI74" i="20"/>
  <c r="AH74" i="20"/>
  <c r="AG74" i="20"/>
  <c r="AF74" i="20"/>
  <c r="AE74" i="20"/>
  <c r="AD74" i="20"/>
  <c r="AC74" i="20"/>
  <c r="AB74" i="20"/>
  <c r="AA74" i="20"/>
  <c r="Z74" i="20"/>
  <c r="X74" i="20"/>
  <c r="W74" i="20"/>
  <c r="V74" i="20"/>
  <c r="U74" i="20"/>
  <c r="T74" i="20"/>
  <c r="S74" i="20"/>
  <c r="R74" i="20"/>
  <c r="Q74" i="20"/>
  <c r="P74" i="20"/>
  <c r="O74" i="20"/>
  <c r="N74" i="20"/>
  <c r="L74" i="20"/>
  <c r="K74" i="20"/>
  <c r="J74" i="20"/>
  <c r="I74" i="20"/>
  <c r="H74" i="20"/>
  <c r="G74" i="20"/>
  <c r="F74" i="20"/>
  <c r="E74" i="20"/>
  <c r="D74" i="20"/>
  <c r="C74" i="20"/>
  <c r="B74" i="20"/>
  <c r="A74" i="20"/>
  <c r="M74" i="20" s="1"/>
  <c r="Y74" i="20" s="1"/>
  <c r="AJ73" i="20"/>
  <c r="AI73" i="20"/>
  <c r="AH73" i="20"/>
  <c r="AG73" i="20"/>
  <c r="AF73" i="20"/>
  <c r="AE73" i="20"/>
  <c r="AD73" i="20"/>
  <c r="AC73" i="20"/>
  <c r="AB73" i="20"/>
  <c r="AA73" i="20"/>
  <c r="Z73" i="20"/>
  <c r="X73" i="20"/>
  <c r="W73" i="20"/>
  <c r="V73" i="20"/>
  <c r="U73" i="20"/>
  <c r="T73" i="20"/>
  <c r="S73" i="20"/>
  <c r="R73" i="20"/>
  <c r="Q73" i="20"/>
  <c r="P73" i="20"/>
  <c r="O73" i="20"/>
  <c r="N73" i="20"/>
  <c r="L73" i="20"/>
  <c r="K73" i="20"/>
  <c r="J73" i="20"/>
  <c r="I73" i="20"/>
  <c r="H73" i="20"/>
  <c r="G73" i="20"/>
  <c r="F73" i="20"/>
  <c r="E73" i="20"/>
  <c r="D73" i="20"/>
  <c r="C73" i="20"/>
  <c r="B73" i="20"/>
  <c r="A73" i="20"/>
  <c r="M73" i="20" s="1"/>
  <c r="Y73" i="20" s="1"/>
  <c r="AJ72" i="20"/>
  <c r="AI72" i="20"/>
  <c r="AH72" i="20"/>
  <c r="AG72" i="20"/>
  <c r="AF72" i="20"/>
  <c r="AE72" i="20"/>
  <c r="AD72" i="20"/>
  <c r="AC72" i="20"/>
  <c r="AB72" i="20"/>
  <c r="AA72" i="20"/>
  <c r="Z72" i="20"/>
  <c r="X72" i="20"/>
  <c r="W72" i="20"/>
  <c r="V72" i="20"/>
  <c r="U72" i="20"/>
  <c r="T72" i="20"/>
  <c r="S72" i="20"/>
  <c r="R72" i="20"/>
  <c r="Q72" i="20"/>
  <c r="P72" i="20"/>
  <c r="O72" i="20"/>
  <c r="N72" i="20"/>
  <c r="L72" i="20"/>
  <c r="K72" i="20"/>
  <c r="J72" i="20"/>
  <c r="I72" i="20"/>
  <c r="H72" i="20"/>
  <c r="G72" i="20"/>
  <c r="F72" i="20"/>
  <c r="E72" i="20"/>
  <c r="D72" i="20"/>
  <c r="C72" i="20"/>
  <c r="B72" i="20"/>
  <c r="A72" i="20"/>
  <c r="M72" i="20" s="1"/>
  <c r="Y72" i="20" s="1"/>
  <c r="AJ71" i="20"/>
  <c r="AI71" i="20"/>
  <c r="AH71" i="20"/>
  <c r="AG71" i="20"/>
  <c r="AF71" i="20"/>
  <c r="AE71" i="20"/>
  <c r="AD71" i="20"/>
  <c r="AC71" i="20"/>
  <c r="AB71" i="20"/>
  <c r="AA71" i="20"/>
  <c r="Z71" i="20"/>
  <c r="X71" i="20"/>
  <c r="W71" i="20"/>
  <c r="V71" i="20"/>
  <c r="U71" i="20"/>
  <c r="T71" i="20"/>
  <c r="S71" i="20"/>
  <c r="R71" i="20"/>
  <c r="Q71" i="20"/>
  <c r="P71" i="20"/>
  <c r="O71" i="20"/>
  <c r="N71" i="20"/>
  <c r="L71" i="20"/>
  <c r="K71" i="20"/>
  <c r="J71" i="20"/>
  <c r="I71" i="20"/>
  <c r="H71" i="20"/>
  <c r="G71" i="20"/>
  <c r="F71" i="20"/>
  <c r="E71" i="20"/>
  <c r="D71" i="20"/>
  <c r="C71" i="20"/>
  <c r="B71" i="20"/>
  <c r="A71" i="20"/>
  <c r="M71" i="20" s="1"/>
  <c r="Y71" i="20" s="1"/>
  <c r="AJ70" i="20"/>
  <c r="AI70" i="20"/>
  <c r="AH70" i="20"/>
  <c r="AG70" i="20"/>
  <c r="AF70" i="20"/>
  <c r="AE70" i="20"/>
  <c r="AD70" i="20"/>
  <c r="AC70" i="20"/>
  <c r="AB70" i="20"/>
  <c r="AA70" i="20"/>
  <c r="Z70" i="20"/>
  <c r="X70" i="20"/>
  <c r="W70" i="20"/>
  <c r="V70" i="20"/>
  <c r="U70" i="20"/>
  <c r="T70" i="20"/>
  <c r="S70" i="20"/>
  <c r="R70" i="20"/>
  <c r="Q70" i="20"/>
  <c r="P70" i="20"/>
  <c r="O70" i="20"/>
  <c r="N70" i="20"/>
  <c r="L70" i="20"/>
  <c r="K70" i="20"/>
  <c r="J70" i="20"/>
  <c r="I70" i="20"/>
  <c r="H70" i="20"/>
  <c r="G70" i="20"/>
  <c r="F70" i="20"/>
  <c r="E70" i="20"/>
  <c r="D70" i="20"/>
  <c r="C70" i="20"/>
  <c r="B70" i="20"/>
  <c r="A70" i="20"/>
  <c r="M70" i="20" s="1"/>
  <c r="Y70" i="20" s="1"/>
  <c r="AJ69" i="20"/>
  <c r="AI69" i="20"/>
  <c r="AH69" i="20"/>
  <c r="AG69" i="20"/>
  <c r="AF69" i="20"/>
  <c r="AE69" i="20"/>
  <c r="AD69" i="20"/>
  <c r="AC69" i="20"/>
  <c r="AB69" i="20"/>
  <c r="AA69" i="20"/>
  <c r="Z69" i="20"/>
  <c r="X69" i="20"/>
  <c r="W69" i="20"/>
  <c r="V69" i="20"/>
  <c r="U69" i="20"/>
  <c r="T69" i="20"/>
  <c r="S69" i="20"/>
  <c r="R69" i="20"/>
  <c r="Q69" i="20"/>
  <c r="P69" i="20"/>
  <c r="O69" i="20"/>
  <c r="N69" i="20"/>
  <c r="L69" i="20"/>
  <c r="K69" i="20"/>
  <c r="J69" i="20"/>
  <c r="I69" i="20"/>
  <c r="H69" i="20"/>
  <c r="G69" i="20"/>
  <c r="F69" i="20"/>
  <c r="E69" i="20"/>
  <c r="D69" i="20"/>
  <c r="C69" i="20"/>
  <c r="B69" i="20"/>
  <c r="A69" i="20"/>
  <c r="M69" i="20" s="1"/>
  <c r="Y69" i="20" s="1"/>
  <c r="AJ68" i="20"/>
  <c r="AI68" i="20"/>
  <c r="AH68" i="20"/>
  <c r="AG68" i="20"/>
  <c r="AF68" i="20"/>
  <c r="AE68" i="20"/>
  <c r="AD68" i="20"/>
  <c r="AC68" i="20"/>
  <c r="AB68" i="20"/>
  <c r="AA68" i="20"/>
  <c r="Z68" i="20"/>
  <c r="X68" i="20"/>
  <c r="W68" i="20"/>
  <c r="V68" i="20"/>
  <c r="U68" i="20"/>
  <c r="T68" i="20"/>
  <c r="S68" i="20"/>
  <c r="R68" i="20"/>
  <c r="Q68" i="20"/>
  <c r="P68" i="20"/>
  <c r="O68" i="20"/>
  <c r="N68" i="20"/>
  <c r="L68" i="20"/>
  <c r="K68" i="20"/>
  <c r="J68" i="20"/>
  <c r="I68" i="20"/>
  <c r="H68" i="20"/>
  <c r="G68" i="20"/>
  <c r="F68" i="20"/>
  <c r="E68" i="20"/>
  <c r="D68" i="20"/>
  <c r="C68" i="20"/>
  <c r="B68" i="20"/>
  <c r="A68" i="20"/>
  <c r="M68" i="20" s="1"/>
  <c r="Y68" i="20" s="1"/>
  <c r="AJ67" i="20"/>
  <c r="AI67" i="20"/>
  <c r="AH67" i="20"/>
  <c r="AG67" i="20"/>
  <c r="AF67" i="20"/>
  <c r="AE67" i="20"/>
  <c r="AD67" i="20"/>
  <c r="AC67" i="20"/>
  <c r="AB67" i="20"/>
  <c r="AA67" i="20"/>
  <c r="Z67" i="20"/>
  <c r="X67" i="20"/>
  <c r="W67" i="20"/>
  <c r="V67" i="20"/>
  <c r="U67" i="20"/>
  <c r="T67" i="20"/>
  <c r="S67" i="20"/>
  <c r="R67" i="20"/>
  <c r="Q67" i="20"/>
  <c r="P67" i="20"/>
  <c r="O67" i="20"/>
  <c r="N67" i="20"/>
  <c r="L67" i="20"/>
  <c r="K67" i="20"/>
  <c r="J67" i="20"/>
  <c r="I67" i="20"/>
  <c r="H67" i="20"/>
  <c r="G67" i="20"/>
  <c r="F67" i="20"/>
  <c r="E67" i="20"/>
  <c r="D67" i="20"/>
  <c r="C67" i="20"/>
  <c r="B67" i="20"/>
  <c r="A67" i="20"/>
  <c r="M67" i="20" s="1"/>
  <c r="Y67" i="20" s="1"/>
  <c r="AJ66" i="20"/>
  <c r="AI66" i="20"/>
  <c r="AH66" i="20"/>
  <c r="AG66" i="20"/>
  <c r="AF66" i="20"/>
  <c r="AE66" i="20"/>
  <c r="AD66" i="20"/>
  <c r="AC66" i="20"/>
  <c r="AB66" i="20"/>
  <c r="AA66" i="20"/>
  <c r="Z66" i="20"/>
  <c r="X66" i="20"/>
  <c r="W66" i="20"/>
  <c r="V66" i="20"/>
  <c r="U66" i="20"/>
  <c r="T66" i="20"/>
  <c r="S66" i="20"/>
  <c r="R66" i="20"/>
  <c r="Q66" i="20"/>
  <c r="P66" i="20"/>
  <c r="O66" i="20"/>
  <c r="N66" i="20"/>
  <c r="L66" i="20"/>
  <c r="K66" i="20"/>
  <c r="J66" i="20"/>
  <c r="I66" i="20"/>
  <c r="H66" i="20"/>
  <c r="G66" i="20"/>
  <c r="F66" i="20"/>
  <c r="E66" i="20"/>
  <c r="D66" i="20"/>
  <c r="C66" i="20"/>
  <c r="B66" i="20"/>
  <c r="A66" i="20"/>
  <c r="M66" i="20" s="1"/>
  <c r="Y66" i="20" s="1"/>
  <c r="AJ65" i="20"/>
  <c r="AI65" i="20"/>
  <c r="AH65" i="20"/>
  <c r="AG65" i="20"/>
  <c r="AF65" i="20"/>
  <c r="AE65" i="20"/>
  <c r="AD65" i="20"/>
  <c r="AC65" i="20"/>
  <c r="AB65" i="20"/>
  <c r="AA65" i="20"/>
  <c r="Z65" i="20"/>
  <c r="X65" i="20"/>
  <c r="W65" i="20"/>
  <c r="V65" i="20"/>
  <c r="U65" i="20"/>
  <c r="T65" i="20"/>
  <c r="S65" i="20"/>
  <c r="R65" i="20"/>
  <c r="Q65" i="20"/>
  <c r="P65" i="20"/>
  <c r="O65" i="20"/>
  <c r="N65" i="20"/>
  <c r="L65" i="20"/>
  <c r="K65" i="20"/>
  <c r="J65" i="20"/>
  <c r="I65" i="20"/>
  <c r="H65" i="20"/>
  <c r="G65" i="20"/>
  <c r="F65" i="20"/>
  <c r="E65" i="20"/>
  <c r="D65" i="20"/>
  <c r="C65" i="20"/>
  <c r="B65" i="20"/>
  <c r="A65" i="20"/>
  <c r="M65" i="20" s="1"/>
  <c r="Y65" i="20" s="1"/>
  <c r="AJ64" i="20"/>
  <c r="AI64" i="20"/>
  <c r="AH64" i="20"/>
  <c r="AG64" i="20"/>
  <c r="AF64" i="20"/>
  <c r="AE64" i="20"/>
  <c r="AD64" i="20"/>
  <c r="AC64" i="20"/>
  <c r="AB64" i="20"/>
  <c r="AA64" i="20"/>
  <c r="Z64" i="20"/>
  <c r="X64" i="20"/>
  <c r="W64" i="20"/>
  <c r="V64" i="20"/>
  <c r="U64" i="20"/>
  <c r="T64" i="20"/>
  <c r="S64" i="20"/>
  <c r="R64" i="20"/>
  <c r="Q64" i="20"/>
  <c r="P64" i="20"/>
  <c r="O64" i="20"/>
  <c r="N64" i="20"/>
  <c r="L64" i="20"/>
  <c r="K64" i="20"/>
  <c r="J64" i="20"/>
  <c r="I64" i="20"/>
  <c r="H64" i="20"/>
  <c r="G64" i="20"/>
  <c r="F64" i="20"/>
  <c r="E64" i="20"/>
  <c r="D64" i="20"/>
  <c r="C64" i="20"/>
  <c r="B64" i="20"/>
  <c r="A64" i="20"/>
  <c r="M64" i="20" s="1"/>
  <c r="Y64" i="20" s="1"/>
  <c r="AJ63" i="20"/>
  <c r="AI63" i="20"/>
  <c r="AH63" i="20"/>
  <c r="AG63" i="20"/>
  <c r="AF63" i="20"/>
  <c r="AE63" i="20"/>
  <c r="AD63" i="20"/>
  <c r="AC63" i="20"/>
  <c r="AB63" i="20"/>
  <c r="AA63" i="20"/>
  <c r="Z63" i="20"/>
  <c r="X63" i="20"/>
  <c r="W63" i="20"/>
  <c r="V63" i="20"/>
  <c r="U63" i="20"/>
  <c r="T63" i="20"/>
  <c r="S63" i="20"/>
  <c r="R63" i="20"/>
  <c r="Q63" i="20"/>
  <c r="P63" i="20"/>
  <c r="O63" i="20"/>
  <c r="N63" i="20"/>
  <c r="L63" i="20"/>
  <c r="K63" i="20"/>
  <c r="J63" i="20"/>
  <c r="I63" i="20"/>
  <c r="H63" i="20"/>
  <c r="G63" i="20"/>
  <c r="F63" i="20"/>
  <c r="E63" i="20"/>
  <c r="D63" i="20"/>
  <c r="C63" i="20"/>
  <c r="B63" i="20"/>
  <c r="A63" i="20"/>
  <c r="M63" i="20" s="1"/>
  <c r="Y63" i="20" s="1"/>
  <c r="AJ62" i="20"/>
  <c r="AI62" i="20"/>
  <c r="AH62" i="20"/>
  <c r="AG62" i="20"/>
  <c r="AF62" i="20"/>
  <c r="AE62" i="20"/>
  <c r="AD62" i="20"/>
  <c r="AC62" i="20"/>
  <c r="AB62" i="20"/>
  <c r="AA62" i="20"/>
  <c r="Z62" i="20"/>
  <c r="X62" i="20"/>
  <c r="W62" i="20"/>
  <c r="V62" i="20"/>
  <c r="U62" i="20"/>
  <c r="T62" i="20"/>
  <c r="S62" i="20"/>
  <c r="R62" i="20"/>
  <c r="Q62" i="20"/>
  <c r="P62" i="20"/>
  <c r="O62" i="20"/>
  <c r="N62" i="20"/>
  <c r="L62" i="20"/>
  <c r="K62" i="20"/>
  <c r="J62" i="20"/>
  <c r="I62" i="20"/>
  <c r="H62" i="20"/>
  <c r="G62" i="20"/>
  <c r="F62" i="20"/>
  <c r="E62" i="20"/>
  <c r="D62" i="20"/>
  <c r="C62" i="20"/>
  <c r="B62" i="20"/>
  <c r="A62" i="20"/>
  <c r="M62" i="20" s="1"/>
  <c r="Y62" i="20" s="1"/>
  <c r="AJ61" i="20"/>
  <c r="AI61" i="20"/>
  <c r="AH61" i="20"/>
  <c r="AG61" i="20"/>
  <c r="AF61" i="20"/>
  <c r="AE61" i="20"/>
  <c r="AD61" i="20"/>
  <c r="AC61" i="20"/>
  <c r="AB61" i="20"/>
  <c r="AA61" i="20"/>
  <c r="Z61" i="20"/>
  <c r="X61" i="20"/>
  <c r="W61" i="20"/>
  <c r="V61" i="20"/>
  <c r="U61" i="20"/>
  <c r="T61" i="20"/>
  <c r="S61" i="20"/>
  <c r="R61" i="20"/>
  <c r="Q61" i="20"/>
  <c r="P61" i="20"/>
  <c r="O61" i="20"/>
  <c r="N61" i="20"/>
  <c r="L61" i="20"/>
  <c r="K61" i="20"/>
  <c r="J61" i="20"/>
  <c r="I61" i="20"/>
  <c r="H61" i="20"/>
  <c r="G61" i="20"/>
  <c r="F61" i="20"/>
  <c r="E61" i="20"/>
  <c r="D61" i="20"/>
  <c r="C61" i="20"/>
  <c r="B61" i="20"/>
  <c r="A61" i="20"/>
  <c r="M61" i="20" s="1"/>
  <c r="Y61" i="20" s="1"/>
  <c r="AJ60" i="20"/>
  <c r="AI60" i="20"/>
  <c r="AH60" i="20"/>
  <c r="AG60" i="20"/>
  <c r="AF60" i="20"/>
  <c r="AE60" i="20"/>
  <c r="AD60" i="20"/>
  <c r="AC60" i="20"/>
  <c r="AB60" i="20"/>
  <c r="AA60" i="20"/>
  <c r="Z60" i="20"/>
  <c r="X60" i="20"/>
  <c r="W60" i="20"/>
  <c r="V60" i="20"/>
  <c r="U60" i="20"/>
  <c r="T60" i="20"/>
  <c r="S60" i="20"/>
  <c r="R60" i="20"/>
  <c r="Q60" i="20"/>
  <c r="P60" i="20"/>
  <c r="O60" i="20"/>
  <c r="N60" i="20"/>
  <c r="L60" i="20"/>
  <c r="K60" i="20"/>
  <c r="J60" i="20"/>
  <c r="I60" i="20"/>
  <c r="H60" i="20"/>
  <c r="G60" i="20"/>
  <c r="F60" i="20"/>
  <c r="E60" i="20"/>
  <c r="D60" i="20"/>
  <c r="C60" i="20"/>
  <c r="B60" i="20"/>
  <c r="A60" i="20"/>
  <c r="M60" i="20" s="1"/>
  <c r="Y60" i="20" s="1"/>
  <c r="AJ59" i="20"/>
  <c r="AI59" i="20"/>
  <c r="AH59" i="20"/>
  <c r="AG59" i="20"/>
  <c r="AF59" i="20"/>
  <c r="AE59" i="20"/>
  <c r="AD59" i="20"/>
  <c r="AC59" i="20"/>
  <c r="AB59" i="20"/>
  <c r="AA59" i="20"/>
  <c r="Z59" i="20"/>
  <c r="X59" i="20"/>
  <c r="W59" i="20"/>
  <c r="V59" i="20"/>
  <c r="U59" i="20"/>
  <c r="T59" i="20"/>
  <c r="S59" i="20"/>
  <c r="R59" i="20"/>
  <c r="Q59" i="20"/>
  <c r="P59" i="20"/>
  <c r="O59" i="20"/>
  <c r="N59" i="20"/>
  <c r="L59" i="20"/>
  <c r="K59" i="20"/>
  <c r="J59" i="20"/>
  <c r="I59" i="20"/>
  <c r="H59" i="20"/>
  <c r="G59" i="20"/>
  <c r="F59" i="20"/>
  <c r="E59" i="20"/>
  <c r="D59" i="20"/>
  <c r="C59" i="20"/>
  <c r="B59" i="20"/>
  <c r="A59" i="20"/>
  <c r="M59" i="20" s="1"/>
  <c r="Y59" i="20" s="1"/>
  <c r="AJ58" i="20"/>
  <c r="AI58" i="20"/>
  <c r="AH58" i="20"/>
  <c r="AG58" i="20"/>
  <c r="AF58" i="20"/>
  <c r="AE58" i="20"/>
  <c r="AD58" i="20"/>
  <c r="AC58" i="20"/>
  <c r="AB58" i="20"/>
  <c r="AA58" i="20"/>
  <c r="Z58" i="20"/>
  <c r="X58" i="20"/>
  <c r="W58" i="20"/>
  <c r="V58" i="20"/>
  <c r="U58" i="20"/>
  <c r="T58" i="20"/>
  <c r="S58" i="20"/>
  <c r="R58" i="20"/>
  <c r="Q58" i="20"/>
  <c r="P58" i="20"/>
  <c r="O58" i="20"/>
  <c r="N58" i="20"/>
  <c r="L58" i="20"/>
  <c r="K58" i="20"/>
  <c r="J58" i="20"/>
  <c r="I58" i="20"/>
  <c r="H58" i="20"/>
  <c r="G58" i="20"/>
  <c r="F58" i="20"/>
  <c r="E58" i="20"/>
  <c r="D58" i="20"/>
  <c r="C58" i="20"/>
  <c r="B58" i="20"/>
  <c r="A58" i="20"/>
  <c r="M58" i="20" s="1"/>
  <c r="Y58" i="20" s="1"/>
  <c r="AJ57" i="20"/>
  <c r="AI57" i="20"/>
  <c r="AH57" i="20"/>
  <c r="AG57" i="20"/>
  <c r="AF57" i="20"/>
  <c r="AE57" i="20"/>
  <c r="AD57" i="20"/>
  <c r="AC57" i="20"/>
  <c r="AB57" i="20"/>
  <c r="AA57" i="20"/>
  <c r="Z57" i="20"/>
  <c r="X57" i="20"/>
  <c r="W57" i="20"/>
  <c r="V57" i="20"/>
  <c r="U57" i="20"/>
  <c r="T57" i="20"/>
  <c r="S57" i="20"/>
  <c r="R57" i="20"/>
  <c r="Q57" i="20"/>
  <c r="P57" i="20"/>
  <c r="O57" i="20"/>
  <c r="N57" i="20"/>
  <c r="L57" i="20"/>
  <c r="K57" i="20"/>
  <c r="J57" i="20"/>
  <c r="I57" i="20"/>
  <c r="H57" i="20"/>
  <c r="G57" i="20"/>
  <c r="F57" i="20"/>
  <c r="E57" i="20"/>
  <c r="D57" i="20"/>
  <c r="C57" i="20"/>
  <c r="B57" i="20"/>
  <c r="A57" i="20"/>
  <c r="M57" i="20" s="1"/>
  <c r="Y57" i="20" s="1"/>
  <c r="AJ56" i="20"/>
  <c r="AI56" i="20"/>
  <c r="AH56" i="20"/>
  <c r="AG56" i="20"/>
  <c r="AF56" i="20"/>
  <c r="AE56" i="20"/>
  <c r="AD56" i="20"/>
  <c r="AC56" i="20"/>
  <c r="AB56" i="20"/>
  <c r="AA56" i="20"/>
  <c r="Z56" i="20"/>
  <c r="X56" i="20"/>
  <c r="W56" i="20"/>
  <c r="V56" i="20"/>
  <c r="U56" i="20"/>
  <c r="T56" i="20"/>
  <c r="S56" i="20"/>
  <c r="R56" i="20"/>
  <c r="Q56" i="20"/>
  <c r="P56" i="20"/>
  <c r="O56" i="20"/>
  <c r="N56" i="20"/>
  <c r="L56" i="20"/>
  <c r="K56" i="20"/>
  <c r="J56" i="20"/>
  <c r="I56" i="20"/>
  <c r="H56" i="20"/>
  <c r="G56" i="20"/>
  <c r="F56" i="20"/>
  <c r="E56" i="20"/>
  <c r="D56" i="20"/>
  <c r="C56" i="20"/>
  <c r="B56" i="20"/>
  <c r="A56" i="20"/>
  <c r="M56" i="20" s="1"/>
  <c r="Y56" i="20" s="1"/>
  <c r="AJ55" i="20"/>
  <c r="AI55" i="20"/>
  <c r="AH55" i="20"/>
  <c r="AG55" i="20"/>
  <c r="AF55" i="20"/>
  <c r="AE55" i="20"/>
  <c r="AD55" i="20"/>
  <c r="AC55" i="20"/>
  <c r="AB55" i="20"/>
  <c r="AA55" i="20"/>
  <c r="Z55" i="20"/>
  <c r="X55" i="20"/>
  <c r="W55" i="20"/>
  <c r="V55" i="20"/>
  <c r="U55" i="20"/>
  <c r="T55" i="20"/>
  <c r="S55" i="20"/>
  <c r="R55" i="20"/>
  <c r="Q55" i="20"/>
  <c r="P55" i="20"/>
  <c r="O55" i="20"/>
  <c r="N55" i="20"/>
  <c r="L55" i="20"/>
  <c r="K55" i="20"/>
  <c r="J55" i="20"/>
  <c r="I55" i="20"/>
  <c r="H55" i="20"/>
  <c r="G55" i="20"/>
  <c r="F55" i="20"/>
  <c r="E55" i="20"/>
  <c r="D55" i="20"/>
  <c r="C55" i="20"/>
  <c r="B55" i="20"/>
  <c r="A55" i="20"/>
  <c r="M55" i="20" s="1"/>
  <c r="Y55" i="20" s="1"/>
  <c r="AJ54" i="20"/>
  <c r="AI54" i="20"/>
  <c r="AH54" i="20"/>
  <c r="AG54" i="20"/>
  <c r="AF54" i="20"/>
  <c r="AE54" i="20"/>
  <c r="AD54" i="20"/>
  <c r="AC54" i="20"/>
  <c r="AB54" i="20"/>
  <c r="AA54" i="20"/>
  <c r="Z54" i="20"/>
  <c r="X54" i="20"/>
  <c r="W54" i="20"/>
  <c r="V54" i="20"/>
  <c r="U54" i="20"/>
  <c r="T54" i="20"/>
  <c r="S54" i="20"/>
  <c r="R54" i="20"/>
  <c r="Q54" i="20"/>
  <c r="P54" i="20"/>
  <c r="O54" i="20"/>
  <c r="N54" i="20"/>
  <c r="L54" i="20"/>
  <c r="K54" i="20"/>
  <c r="J54" i="20"/>
  <c r="I54" i="20"/>
  <c r="H54" i="20"/>
  <c r="G54" i="20"/>
  <c r="F54" i="20"/>
  <c r="E54" i="20"/>
  <c r="D54" i="20"/>
  <c r="C54" i="20"/>
  <c r="B54" i="20"/>
  <c r="A54" i="20"/>
  <c r="M54" i="20" s="1"/>
  <c r="Y54" i="20" s="1"/>
  <c r="AJ53" i="20"/>
  <c r="AI53" i="20"/>
  <c r="AH53" i="20"/>
  <c r="AG53" i="20"/>
  <c r="AF53" i="20"/>
  <c r="AE53" i="20"/>
  <c r="AD53" i="20"/>
  <c r="AC53" i="20"/>
  <c r="AB53" i="20"/>
  <c r="AA53" i="20"/>
  <c r="Z53" i="20"/>
  <c r="X53" i="20"/>
  <c r="W53" i="20"/>
  <c r="V53" i="20"/>
  <c r="U53" i="20"/>
  <c r="T53" i="20"/>
  <c r="S53" i="20"/>
  <c r="R53" i="20"/>
  <c r="Q53" i="20"/>
  <c r="P53" i="20"/>
  <c r="O53" i="20"/>
  <c r="N53" i="20"/>
  <c r="L53" i="20"/>
  <c r="K53" i="20"/>
  <c r="J53" i="20"/>
  <c r="I53" i="20"/>
  <c r="H53" i="20"/>
  <c r="G53" i="20"/>
  <c r="F53" i="20"/>
  <c r="E53" i="20"/>
  <c r="D53" i="20"/>
  <c r="C53" i="20"/>
  <c r="B53" i="20"/>
  <c r="A53" i="20"/>
  <c r="M53" i="20" s="1"/>
  <c r="Y53" i="20" s="1"/>
  <c r="AJ52" i="20"/>
  <c r="AI52" i="20"/>
  <c r="AH52" i="20"/>
  <c r="AG52" i="20"/>
  <c r="AF52" i="20"/>
  <c r="AE52" i="20"/>
  <c r="AD52" i="20"/>
  <c r="AC52" i="20"/>
  <c r="AB52" i="20"/>
  <c r="AA52" i="20"/>
  <c r="Z52" i="20"/>
  <c r="X52" i="20"/>
  <c r="W52" i="20"/>
  <c r="V52" i="20"/>
  <c r="U52" i="20"/>
  <c r="T52" i="20"/>
  <c r="S52" i="20"/>
  <c r="R52" i="20"/>
  <c r="Q52" i="20"/>
  <c r="P52" i="20"/>
  <c r="O52" i="20"/>
  <c r="N52" i="20"/>
  <c r="L52" i="20"/>
  <c r="K52" i="20"/>
  <c r="J52" i="20"/>
  <c r="I52" i="20"/>
  <c r="H52" i="20"/>
  <c r="G52" i="20"/>
  <c r="F52" i="20"/>
  <c r="E52" i="20"/>
  <c r="D52" i="20"/>
  <c r="C52" i="20"/>
  <c r="B52" i="20"/>
  <c r="A52" i="20"/>
  <c r="M52" i="20" s="1"/>
  <c r="Y52" i="20" s="1"/>
  <c r="AJ51" i="20"/>
  <c r="AI51" i="20"/>
  <c r="AH51" i="20"/>
  <c r="AG51" i="20"/>
  <c r="AF51" i="20"/>
  <c r="AE51" i="20"/>
  <c r="AD51" i="20"/>
  <c r="AC51" i="20"/>
  <c r="AB51" i="20"/>
  <c r="AA51" i="20"/>
  <c r="Z51" i="20"/>
  <c r="X51" i="20"/>
  <c r="W51" i="20"/>
  <c r="V51" i="20"/>
  <c r="U51" i="20"/>
  <c r="T51" i="20"/>
  <c r="S51" i="20"/>
  <c r="R51" i="20"/>
  <c r="Q51" i="20"/>
  <c r="P51" i="20"/>
  <c r="O51" i="20"/>
  <c r="N51" i="20"/>
  <c r="L51" i="20"/>
  <c r="K51" i="20"/>
  <c r="J51" i="20"/>
  <c r="I51" i="20"/>
  <c r="H51" i="20"/>
  <c r="G51" i="20"/>
  <c r="F51" i="20"/>
  <c r="E51" i="20"/>
  <c r="D51" i="20"/>
  <c r="C51" i="20"/>
  <c r="B51" i="20"/>
  <c r="A51" i="20"/>
  <c r="M51" i="20" s="1"/>
  <c r="Y51" i="20" s="1"/>
  <c r="AJ50" i="20"/>
  <c r="AI50" i="20"/>
  <c r="AH50" i="20"/>
  <c r="AG50" i="20"/>
  <c r="AF50" i="20"/>
  <c r="AE50" i="20"/>
  <c r="AD50" i="20"/>
  <c r="AC50" i="20"/>
  <c r="AB50" i="20"/>
  <c r="AA50" i="20"/>
  <c r="Z50" i="20"/>
  <c r="X50" i="20"/>
  <c r="W50" i="20"/>
  <c r="V50" i="20"/>
  <c r="U50" i="20"/>
  <c r="T50" i="20"/>
  <c r="S50" i="20"/>
  <c r="R50" i="20"/>
  <c r="Q50" i="20"/>
  <c r="P50" i="20"/>
  <c r="O50" i="20"/>
  <c r="N50" i="20"/>
  <c r="L50" i="20"/>
  <c r="K50" i="20"/>
  <c r="J50" i="20"/>
  <c r="I50" i="20"/>
  <c r="H50" i="20"/>
  <c r="G50" i="20"/>
  <c r="F50" i="20"/>
  <c r="E50" i="20"/>
  <c r="D50" i="20"/>
  <c r="C50" i="20"/>
  <c r="B50" i="20"/>
  <c r="A50" i="20"/>
  <c r="M50" i="20" s="1"/>
  <c r="Y50" i="20" s="1"/>
  <c r="AJ49" i="20"/>
  <c r="AI49" i="20"/>
  <c r="AH49" i="20"/>
  <c r="AG49" i="20"/>
  <c r="AF49" i="20"/>
  <c r="AE49" i="20"/>
  <c r="AD49" i="20"/>
  <c r="AC49" i="20"/>
  <c r="AB49" i="20"/>
  <c r="AA49" i="20"/>
  <c r="Z49" i="20"/>
  <c r="X49" i="20"/>
  <c r="W49" i="20"/>
  <c r="V49" i="20"/>
  <c r="U49" i="20"/>
  <c r="T49" i="20"/>
  <c r="S49" i="20"/>
  <c r="R49" i="20"/>
  <c r="Q49" i="20"/>
  <c r="P49" i="20"/>
  <c r="O49" i="20"/>
  <c r="N49" i="20"/>
  <c r="L49" i="20"/>
  <c r="K49" i="20"/>
  <c r="J49" i="20"/>
  <c r="I49" i="20"/>
  <c r="H49" i="20"/>
  <c r="G49" i="20"/>
  <c r="F49" i="20"/>
  <c r="E49" i="20"/>
  <c r="D49" i="20"/>
  <c r="C49" i="20"/>
  <c r="B49" i="20"/>
  <c r="A49" i="20"/>
  <c r="M49" i="20" s="1"/>
  <c r="Y49" i="20" s="1"/>
  <c r="AJ48" i="20"/>
  <c r="AI48" i="20"/>
  <c r="AH48" i="20"/>
  <c r="AG48" i="20"/>
  <c r="AF48" i="20"/>
  <c r="AE48" i="20"/>
  <c r="AD48" i="20"/>
  <c r="AC48" i="20"/>
  <c r="AB48" i="20"/>
  <c r="AA48" i="20"/>
  <c r="Z48" i="20"/>
  <c r="X48" i="20"/>
  <c r="W48" i="20"/>
  <c r="V48" i="20"/>
  <c r="U48" i="20"/>
  <c r="T48" i="20"/>
  <c r="S48" i="20"/>
  <c r="R48" i="20"/>
  <c r="Q48" i="20"/>
  <c r="P48" i="20"/>
  <c r="O48" i="20"/>
  <c r="N48" i="20"/>
  <c r="L48" i="20"/>
  <c r="K48" i="20"/>
  <c r="J48" i="20"/>
  <c r="I48" i="20"/>
  <c r="H48" i="20"/>
  <c r="G48" i="20"/>
  <c r="F48" i="20"/>
  <c r="E48" i="20"/>
  <c r="D48" i="20"/>
  <c r="C48" i="20"/>
  <c r="B48" i="20"/>
  <c r="A48" i="20"/>
  <c r="M48" i="20" s="1"/>
  <c r="Y48" i="20" s="1"/>
  <c r="AJ47" i="20"/>
  <c r="AI47" i="20"/>
  <c r="AH47" i="20"/>
  <c r="AG47" i="20"/>
  <c r="AF47" i="20"/>
  <c r="AE47" i="20"/>
  <c r="AD47" i="20"/>
  <c r="AC47" i="20"/>
  <c r="AB47" i="20"/>
  <c r="AA47" i="20"/>
  <c r="Z47" i="20"/>
  <c r="X47" i="20"/>
  <c r="W47" i="20"/>
  <c r="V47" i="20"/>
  <c r="U47" i="20"/>
  <c r="T47" i="20"/>
  <c r="S47" i="20"/>
  <c r="R47" i="20"/>
  <c r="Q47" i="20"/>
  <c r="P47" i="20"/>
  <c r="O47" i="20"/>
  <c r="N47" i="20"/>
  <c r="L47" i="20"/>
  <c r="K47" i="20"/>
  <c r="J47" i="20"/>
  <c r="I47" i="20"/>
  <c r="H47" i="20"/>
  <c r="G47" i="20"/>
  <c r="F47" i="20"/>
  <c r="E47" i="20"/>
  <c r="D47" i="20"/>
  <c r="C47" i="20"/>
  <c r="B47" i="20"/>
  <c r="A47" i="20"/>
  <c r="M47" i="20" s="1"/>
  <c r="Y47" i="20" s="1"/>
  <c r="AJ46" i="20"/>
  <c r="AI46" i="20"/>
  <c r="AH46" i="20"/>
  <c r="AG46" i="20"/>
  <c r="AF46" i="20"/>
  <c r="AE46" i="20"/>
  <c r="AD46" i="20"/>
  <c r="AC46" i="20"/>
  <c r="AB46" i="20"/>
  <c r="AA46" i="20"/>
  <c r="Z46" i="20"/>
  <c r="X46" i="20"/>
  <c r="W46" i="20"/>
  <c r="V46" i="20"/>
  <c r="U46" i="20"/>
  <c r="T46" i="20"/>
  <c r="S46" i="20"/>
  <c r="R46" i="20"/>
  <c r="Q46" i="20"/>
  <c r="P46" i="20"/>
  <c r="O46" i="20"/>
  <c r="N46" i="20"/>
  <c r="L46" i="20"/>
  <c r="K46" i="20"/>
  <c r="J46" i="20"/>
  <c r="I46" i="20"/>
  <c r="H46" i="20"/>
  <c r="G46" i="20"/>
  <c r="F46" i="20"/>
  <c r="E46" i="20"/>
  <c r="D46" i="20"/>
  <c r="C46" i="20"/>
  <c r="B46" i="20"/>
  <c r="A46" i="20"/>
  <c r="M46" i="20" s="1"/>
  <c r="Y46" i="20" s="1"/>
  <c r="AJ45" i="20"/>
  <c r="AI45" i="20"/>
  <c r="AH45" i="20"/>
  <c r="AG45" i="20"/>
  <c r="AF45" i="20"/>
  <c r="AE45" i="20"/>
  <c r="AD45" i="20"/>
  <c r="AC45" i="20"/>
  <c r="AB45" i="20"/>
  <c r="AA45" i="20"/>
  <c r="Z45" i="20"/>
  <c r="X45" i="20"/>
  <c r="W45" i="20"/>
  <c r="V45" i="20"/>
  <c r="U45" i="20"/>
  <c r="T45" i="20"/>
  <c r="S45" i="20"/>
  <c r="R45" i="20"/>
  <c r="Q45" i="20"/>
  <c r="P45" i="20"/>
  <c r="O45" i="20"/>
  <c r="N45" i="20"/>
  <c r="L45" i="20"/>
  <c r="K45" i="20"/>
  <c r="J45" i="20"/>
  <c r="I45" i="20"/>
  <c r="H45" i="20"/>
  <c r="G45" i="20"/>
  <c r="F45" i="20"/>
  <c r="E45" i="20"/>
  <c r="D45" i="20"/>
  <c r="C45" i="20"/>
  <c r="B45" i="20"/>
  <c r="A45" i="20"/>
  <c r="M45" i="20" s="1"/>
  <c r="Y45" i="20" s="1"/>
  <c r="AJ44" i="20"/>
  <c r="AI44" i="20"/>
  <c r="AH44" i="20"/>
  <c r="AG44" i="20"/>
  <c r="AF44" i="20"/>
  <c r="AE44" i="20"/>
  <c r="AD44" i="20"/>
  <c r="AC44" i="20"/>
  <c r="AB44" i="20"/>
  <c r="AA44" i="20"/>
  <c r="Z44" i="20"/>
  <c r="X44" i="20"/>
  <c r="W44" i="20"/>
  <c r="V44" i="20"/>
  <c r="U44" i="20"/>
  <c r="T44" i="20"/>
  <c r="S44" i="20"/>
  <c r="R44" i="20"/>
  <c r="Q44" i="20"/>
  <c r="P44" i="20"/>
  <c r="O44" i="20"/>
  <c r="N44" i="20"/>
  <c r="L44" i="20"/>
  <c r="K44" i="20"/>
  <c r="J44" i="20"/>
  <c r="I44" i="20"/>
  <c r="H44" i="20"/>
  <c r="G44" i="20"/>
  <c r="F44" i="20"/>
  <c r="E44" i="20"/>
  <c r="D44" i="20"/>
  <c r="C44" i="20"/>
  <c r="B44" i="20"/>
  <c r="A44" i="20"/>
  <c r="M44" i="20" s="1"/>
  <c r="Y44" i="20" s="1"/>
  <c r="AJ43" i="20"/>
  <c r="AI43" i="20"/>
  <c r="AH43" i="20"/>
  <c r="AG43" i="20"/>
  <c r="AF43" i="20"/>
  <c r="AE43" i="20"/>
  <c r="AD43" i="20"/>
  <c r="AC43" i="20"/>
  <c r="AB43" i="20"/>
  <c r="AA43" i="20"/>
  <c r="Z43" i="20"/>
  <c r="X43" i="20"/>
  <c r="W43" i="20"/>
  <c r="V43" i="20"/>
  <c r="U43" i="20"/>
  <c r="T43" i="20"/>
  <c r="S43" i="20"/>
  <c r="R43" i="20"/>
  <c r="Q43" i="20"/>
  <c r="P43" i="20"/>
  <c r="O43" i="20"/>
  <c r="N43" i="20"/>
  <c r="L43" i="20"/>
  <c r="K43" i="20"/>
  <c r="J43" i="20"/>
  <c r="I43" i="20"/>
  <c r="H43" i="20"/>
  <c r="G43" i="20"/>
  <c r="F43" i="20"/>
  <c r="E43" i="20"/>
  <c r="D43" i="20"/>
  <c r="C43" i="20"/>
  <c r="B43" i="20"/>
  <c r="A43" i="20"/>
  <c r="M43" i="20" s="1"/>
  <c r="Y43" i="20" s="1"/>
  <c r="AJ42" i="20"/>
  <c r="AI42" i="20"/>
  <c r="AH42" i="20"/>
  <c r="AG42" i="20"/>
  <c r="AF42" i="20"/>
  <c r="AE42" i="20"/>
  <c r="AD42" i="20"/>
  <c r="AC42" i="20"/>
  <c r="AB42" i="20"/>
  <c r="AA42" i="20"/>
  <c r="Z42" i="20"/>
  <c r="X42" i="20"/>
  <c r="W42" i="20"/>
  <c r="V42" i="20"/>
  <c r="U42" i="20"/>
  <c r="T42" i="20"/>
  <c r="S42" i="20"/>
  <c r="R42" i="20"/>
  <c r="Q42" i="20"/>
  <c r="P42" i="20"/>
  <c r="O42" i="20"/>
  <c r="N42" i="20"/>
  <c r="L42" i="20"/>
  <c r="K42" i="20"/>
  <c r="J42" i="20"/>
  <c r="I42" i="20"/>
  <c r="H42" i="20"/>
  <c r="G42" i="20"/>
  <c r="F42" i="20"/>
  <c r="E42" i="20"/>
  <c r="D42" i="20"/>
  <c r="C42" i="20"/>
  <c r="B42" i="20"/>
  <c r="A42" i="20"/>
  <c r="M42" i="20" s="1"/>
  <c r="Y42" i="20" s="1"/>
  <c r="AJ41" i="20"/>
  <c r="AI41" i="20"/>
  <c r="AH41" i="20"/>
  <c r="AG41" i="20"/>
  <c r="AF41" i="20"/>
  <c r="AE41" i="20"/>
  <c r="AD41" i="20"/>
  <c r="AC41" i="20"/>
  <c r="AB41" i="20"/>
  <c r="AA41" i="20"/>
  <c r="Z41" i="20"/>
  <c r="X41" i="20"/>
  <c r="W41" i="20"/>
  <c r="V41" i="20"/>
  <c r="U41" i="20"/>
  <c r="T41" i="20"/>
  <c r="S41" i="20"/>
  <c r="R41" i="20"/>
  <c r="Q41" i="20"/>
  <c r="P41" i="20"/>
  <c r="O41" i="20"/>
  <c r="N41" i="20"/>
  <c r="L41" i="20"/>
  <c r="K41" i="20"/>
  <c r="J41" i="20"/>
  <c r="I41" i="20"/>
  <c r="H41" i="20"/>
  <c r="G41" i="20"/>
  <c r="F41" i="20"/>
  <c r="E41" i="20"/>
  <c r="D41" i="20"/>
  <c r="C41" i="20"/>
  <c r="B41" i="20"/>
  <c r="A41" i="20"/>
  <c r="M41" i="20" s="1"/>
  <c r="Y41" i="20" s="1"/>
  <c r="AJ40" i="20"/>
  <c r="AI40" i="20"/>
  <c r="AH40" i="20"/>
  <c r="AG40" i="20"/>
  <c r="AF40" i="20"/>
  <c r="AE40" i="20"/>
  <c r="AD40" i="20"/>
  <c r="AC40" i="20"/>
  <c r="AB40" i="20"/>
  <c r="AA40" i="20"/>
  <c r="Z40" i="20"/>
  <c r="X40" i="20"/>
  <c r="W40" i="20"/>
  <c r="V40" i="20"/>
  <c r="U40" i="20"/>
  <c r="T40" i="20"/>
  <c r="S40" i="20"/>
  <c r="R40" i="20"/>
  <c r="Q40" i="20"/>
  <c r="P40" i="20"/>
  <c r="O40" i="20"/>
  <c r="N40" i="20"/>
  <c r="L40" i="20"/>
  <c r="K40" i="20"/>
  <c r="J40" i="20"/>
  <c r="I40" i="20"/>
  <c r="H40" i="20"/>
  <c r="G40" i="20"/>
  <c r="F40" i="20"/>
  <c r="E40" i="20"/>
  <c r="D40" i="20"/>
  <c r="C40" i="20"/>
  <c r="B40" i="20"/>
  <c r="A40" i="20"/>
  <c r="M40" i="20" s="1"/>
  <c r="Y40" i="20" s="1"/>
  <c r="AJ39" i="20"/>
  <c r="AI39" i="20"/>
  <c r="AH39" i="20"/>
  <c r="AG39" i="20"/>
  <c r="AF39" i="20"/>
  <c r="AE39" i="20"/>
  <c r="AD39" i="20"/>
  <c r="AC39" i="20"/>
  <c r="AB39" i="20"/>
  <c r="AA39" i="20"/>
  <c r="Z39" i="20"/>
  <c r="X39" i="20"/>
  <c r="W39" i="20"/>
  <c r="V39" i="20"/>
  <c r="U39" i="20"/>
  <c r="T39" i="20"/>
  <c r="S39" i="20"/>
  <c r="R39" i="20"/>
  <c r="Q39" i="20"/>
  <c r="P39" i="20"/>
  <c r="O39" i="20"/>
  <c r="N39" i="20"/>
  <c r="L39" i="20"/>
  <c r="K39" i="20"/>
  <c r="J39" i="20"/>
  <c r="I39" i="20"/>
  <c r="H39" i="20"/>
  <c r="G39" i="20"/>
  <c r="F39" i="20"/>
  <c r="E39" i="20"/>
  <c r="D39" i="20"/>
  <c r="C39" i="20"/>
  <c r="B39" i="20"/>
  <c r="A39" i="20"/>
  <c r="M39" i="20" s="1"/>
  <c r="Y39" i="20" s="1"/>
  <c r="AJ38" i="20"/>
  <c r="AI38" i="20"/>
  <c r="AH38" i="20"/>
  <c r="AG38" i="20"/>
  <c r="AF38" i="20"/>
  <c r="AE38" i="20"/>
  <c r="AD38" i="20"/>
  <c r="AC38" i="20"/>
  <c r="AB38" i="20"/>
  <c r="AA38" i="20"/>
  <c r="Z38" i="20"/>
  <c r="X38" i="20"/>
  <c r="W38" i="20"/>
  <c r="V38" i="20"/>
  <c r="U38" i="20"/>
  <c r="T38" i="20"/>
  <c r="S38" i="20"/>
  <c r="R38" i="20"/>
  <c r="Q38" i="20"/>
  <c r="P38" i="20"/>
  <c r="O38" i="20"/>
  <c r="N38" i="20"/>
  <c r="L38" i="20"/>
  <c r="K38" i="20"/>
  <c r="J38" i="20"/>
  <c r="I38" i="20"/>
  <c r="H38" i="20"/>
  <c r="G38" i="20"/>
  <c r="F38" i="20"/>
  <c r="E38" i="20"/>
  <c r="D38" i="20"/>
  <c r="C38" i="20"/>
  <c r="B38" i="20"/>
  <c r="A38" i="20"/>
  <c r="M38" i="20" s="1"/>
  <c r="Y38" i="20" s="1"/>
  <c r="AJ37" i="20"/>
  <c r="AI37" i="20"/>
  <c r="AH37" i="20"/>
  <c r="AG37" i="20"/>
  <c r="AF37" i="20"/>
  <c r="AE37" i="20"/>
  <c r="AD37" i="20"/>
  <c r="AC37" i="20"/>
  <c r="AB37" i="20"/>
  <c r="AA37" i="20"/>
  <c r="Z37" i="20"/>
  <c r="X37" i="20"/>
  <c r="W37" i="20"/>
  <c r="V37" i="20"/>
  <c r="U37" i="20"/>
  <c r="T37" i="20"/>
  <c r="S37" i="20"/>
  <c r="R37" i="20"/>
  <c r="Q37" i="20"/>
  <c r="P37" i="20"/>
  <c r="O37" i="20"/>
  <c r="N37" i="20"/>
  <c r="L37" i="20"/>
  <c r="K37" i="20"/>
  <c r="J37" i="20"/>
  <c r="I37" i="20"/>
  <c r="H37" i="20"/>
  <c r="G37" i="20"/>
  <c r="F37" i="20"/>
  <c r="E37" i="20"/>
  <c r="D37" i="20"/>
  <c r="C37" i="20"/>
  <c r="B37" i="20"/>
  <c r="A37" i="20"/>
  <c r="M37" i="20" s="1"/>
  <c r="Y37" i="20" s="1"/>
  <c r="AJ36" i="20"/>
  <c r="AI36" i="20"/>
  <c r="AH36" i="20"/>
  <c r="AG36" i="20"/>
  <c r="AF36" i="20"/>
  <c r="AE36" i="20"/>
  <c r="AD36" i="20"/>
  <c r="AC36" i="20"/>
  <c r="AB36" i="20"/>
  <c r="AA36" i="20"/>
  <c r="Z36" i="20"/>
  <c r="X36" i="20"/>
  <c r="W36" i="20"/>
  <c r="V36" i="20"/>
  <c r="U36" i="20"/>
  <c r="T36" i="20"/>
  <c r="S36" i="20"/>
  <c r="R36" i="20"/>
  <c r="Q36" i="20"/>
  <c r="P36" i="20"/>
  <c r="O36" i="20"/>
  <c r="N36" i="20"/>
  <c r="L36" i="20"/>
  <c r="K36" i="20"/>
  <c r="J36" i="20"/>
  <c r="I36" i="20"/>
  <c r="H36" i="20"/>
  <c r="G36" i="20"/>
  <c r="F36" i="20"/>
  <c r="E36" i="20"/>
  <c r="D36" i="20"/>
  <c r="C36" i="20"/>
  <c r="B36" i="20"/>
  <c r="A36" i="20"/>
  <c r="M36" i="20" s="1"/>
  <c r="Y36" i="20" s="1"/>
  <c r="AJ35" i="20"/>
  <c r="AI35" i="20"/>
  <c r="AH35" i="20"/>
  <c r="AG35" i="20"/>
  <c r="AF35" i="20"/>
  <c r="AE35" i="20"/>
  <c r="AD35" i="20"/>
  <c r="AC35" i="20"/>
  <c r="AB35" i="20"/>
  <c r="AA35" i="20"/>
  <c r="Z35" i="20"/>
  <c r="X35" i="20"/>
  <c r="W35" i="20"/>
  <c r="V35" i="20"/>
  <c r="U35" i="20"/>
  <c r="T35" i="20"/>
  <c r="S35" i="20"/>
  <c r="R35" i="20"/>
  <c r="Q35" i="20"/>
  <c r="P35" i="20"/>
  <c r="O35" i="20"/>
  <c r="N35" i="20"/>
  <c r="L35" i="20"/>
  <c r="K35" i="20"/>
  <c r="J35" i="20"/>
  <c r="I35" i="20"/>
  <c r="H35" i="20"/>
  <c r="G35" i="20"/>
  <c r="F35" i="20"/>
  <c r="E35" i="20"/>
  <c r="D35" i="20"/>
  <c r="C35" i="20"/>
  <c r="B35" i="20"/>
  <c r="A35" i="20"/>
  <c r="M35" i="20" s="1"/>
  <c r="Y35" i="20" s="1"/>
  <c r="AJ34" i="20"/>
  <c r="AI34" i="20"/>
  <c r="AH34" i="20"/>
  <c r="AG34" i="20"/>
  <c r="AF34" i="20"/>
  <c r="AE34" i="20"/>
  <c r="AD34" i="20"/>
  <c r="AC34" i="20"/>
  <c r="AB34" i="20"/>
  <c r="AA34" i="20"/>
  <c r="Z34" i="20"/>
  <c r="X34" i="20"/>
  <c r="W34" i="20"/>
  <c r="V34" i="20"/>
  <c r="U34" i="20"/>
  <c r="T34" i="20"/>
  <c r="S34" i="20"/>
  <c r="R34" i="20"/>
  <c r="Q34" i="20"/>
  <c r="P34" i="20"/>
  <c r="O34" i="20"/>
  <c r="N34" i="20"/>
  <c r="L34" i="20"/>
  <c r="K34" i="20"/>
  <c r="J34" i="20"/>
  <c r="I34" i="20"/>
  <c r="H34" i="20"/>
  <c r="G34" i="20"/>
  <c r="F34" i="20"/>
  <c r="E34" i="20"/>
  <c r="D34" i="20"/>
  <c r="C34" i="20"/>
  <c r="B34" i="20"/>
  <c r="A34" i="20"/>
  <c r="M34" i="20" s="1"/>
  <c r="Y34" i="20" s="1"/>
  <c r="AJ33" i="20"/>
  <c r="AI33" i="20"/>
  <c r="AH33" i="20"/>
  <c r="AG33" i="20"/>
  <c r="AF33" i="20"/>
  <c r="AE33" i="20"/>
  <c r="AD33" i="20"/>
  <c r="AC33" i="20"/>
  <c r="AB33" i="20"/>
  <c r="AA33" i="20"/>
  <c r="Z33" i="20"/>
  <c r="X33" i="20"/>
  <c r="W33" i="20"/>
  <c r="V33" i="20"/>
  <c r="U33" i="20"/>
  <c r="T33" i="20"/>
  <c r="S33" i="20"/>
  <c r="R33" i="20"/>
  <c r="Q33" i="20"/>
  <c r="P33" i="20"/>
  <c r="O33" i="20"/>
  <c r="N33" i="20"/>
  <c r="L33" i="20"/>
  <c r="K33" i="20"/>
  <c r="J33" i="20"/>
  <c r="I33" i="20"/>
  <c r="H33" i="20"/>
  <c r="G33" i="20"/>
  <c r="F33" i="20"/>
  <c r="E33" i="20"/>
  <c r="D33" i="20"/>
  <c r="C33" i="20"/>
  <c r="B33" i="20"/>
  <c r="A33" i="20"/>
  <c r="M33" i="20" s="1"/>
  <c r="Y33" i="20" s="1"/>
  <c r="AJ32" i="20"/>
  <c r="AI32" i="20"/>
  <c r="AH32" i="20"/>
  <c r="AG32" i="20"/>
  <c r="AF32" i="20"/>
  <c r="AE32" i="20"/>
  <c r="AD32" i="20"/>
  <c r="AC32" i="20"/>
  <c r="AB32" i="20"/>
  <c r="AA32" i="20"/>
  <c r="Z32" i="20"/>
  <c r="X32" i="20"/>
  <c r="W32" i="20"/>
  <c r="V32" i="20"/>
  <c r="U32" i="20"/>
  <c r="T32" i="20"/>
  <c r="S32" i="20"/>
  <c r="R32" i="20"/>
  <c r="Q32" i="20"/>
  <c r="P32" i="20"/>
  <c r="O32" i="20"/>
  <c r="N32" i="20"/>
  <c r="L32" i="20"/>
  <c r="K32" i="20"/>
  <c r="J32" i="20"/>
  <c r="I32" i="20"/>
  <c r="H32" i="20"/>
  <c r="G32" i="20"/>
  <c r="F32" i="20"/>
  <c r="E32" i="20"/>
  <c r="D32" i="20"/>
  <c r="C32" i="20"/>
  <c r="B32" i="20"/>
  <c r="A32" i="20"/>
  <c r="M32" i="20" s="1"/>
  <c r="Y32" i="20" s="1"/>
  <c r="AJ31" i="20"/>
  <c r="AI31" i="20"/>
  <c r="AH31" i="20"/>
  <c r="AG31" i="20"/>
  <c r="AF31" i="20"/>
  <c r="AE31" i="20"/>
  <c r="AD31" i="20"/>
  <c r="AC31" i="20"/>
  <c r="AB31" i="20"/>
  <c r="AA31" i="20"/>
  <c r="Z31" i="20"/>
  <c r="X31" i="20"/>
  <c r="W31" i="20"/>
  <c r="V31" i="20"/>
  <c r="U31" i="20"/>
  <c r="T31" i="20"/>
  <c r="S31" i="20"/>
  <c r="R31" i="20"/>
  <c r="Q31" i="20"/>
  <c r="P31" i="20"/>
  <c r="O31" i="20"/>
  <c r="N31" i="20"/>
  <c r="L31" i="20"/>
  <c r="K31" i="20"/>
  <c r="J31" i="20"/>
  <c r="I31" i="20"/>
  <c r="H31" i="20"/>
  <c r="G31" i="20"/>
  <c r="F31" i="20"/>
  <c r="E31" i="20"/>
  <c r="D31" i="20"/>
  <c r="C31" i="20"/>
  <c r="B31" i="20"/>
  <c r="A31" i="20"/>
  <c r="M31" i="20" s="1"/>
  <c r="Y31" i="20" s="1"/>
  <c r="AJ30" i="20"/>
  <c r="AI30" i="20"/>
  <c r="AH30" i="20"/>
  <c r="AG30" i="20"/>
  <c r="AF30" i="20"/>
  <c r="AE30" i="20"/>
  <c r="AD30" i="20"/>
  <c r="AC30" i="20"/>
  <c r="AB30" i="20"/>
  <c r="AA30" i="20"/>
  <c r="Z30" i="20"/>
  <c r="X30" i="20"/>
  <c r="W30" i="20"/>
  <c r="V30" i="20"/>
  <c r="U30" i="20"/>
  <c r="T30" i="20"/>
  <c r="S30" i="20"/>
  <c r="R30" i="20"/>
  <c r="Q30" i="20"/>
  <c r="P30" i="20"/>
  <c r="O30" i="20"/>
  <c r="N30" i="20"/>
  <c r="L30" i="20"/>
  <c r="K30" i="20"/>
  <c r="J30" i="20"/>
  <c r="I30" i="20"/>
  <c r="H30" i="20"/>
  <c r="G30" i="20"/>
  <c r="F30" i="20"/>
  <c r="E30" i="20"/>
  <c r="D30" i="20"/>
  <c r="C30" i="20"/>
  <c r="B30" i="20"/>
  <c r="A30" i="20"/>
  <c r="M30" i="20" s="1"/>
  <c r="Y30" i="20" s="1"/>
  <c r="AJ29" i="20"/>
  <c r="AI29" i="20"/>
  <c r="AH29" i="20"/>
  <c r="AG29" i="20"/>
  <c r="AF29" i="20"/>
  <c r="AE29" i="20"/>
  <c r="AD29" i="20"/>
  <c r="AC29" i="20"/>
  <c r="AB29" i="20"/>
  <c r="AA29" i="20"/>
  <c r="Z29" i="20"/>
  <c r="X29" i="20"/>
  <c r="W29" i="20"/>
  <c r="V29" i="20"/>
  <c r="U29" i="20"/>
  <c r="T29" i="20"/>
  <c r="S29" i="20"/>
  <c r="R29" i="20"/>
  <c r="Q29" i="20"/>
  <c r="P29" i="20"/>
  <c r="O29" i="20"/>
  <c r="N29" i="20"/>
  <c r="L29" i="20"/>
  <c r="K29" i="20"/>
  <c r="J29" i="20"/>
  <c r="I29" i="20"/>
  <c r="H29" i="20"/>
  <c r="G29" i="20"/>
  <c r="F29" i="20"/>
  <c r="E29" i="20"/>
  <c r="D29" i="20"/>
  <c r="C29" i="20"/>
  <c r="B29" i="20"/>
  <c r="A29" i="20"/>
  <c r="M29" i="20" s="1"/>
  <c r="Y29" i="20" s="1"/>
  <c r="AJ28" i="20"/>
  <c r="AI28" i="20"/>
  <c r="AH28" i="20"/>
  <c r="AG28" i="20"/>
  <c r="AF28" i="20"/>
  <c r="AE28" i="20"/>
  <c r="AD28" i="20"/>
  <c r="AC28" i="20"/>
  <c r="AB28" i="20"/>
  <c r="AA28" i="20"/>
  <c r="Z28" i="20"/>
  <c r="X28" i="20"/>
  <c r="W28" i="20"/>
  <c r="V28" i="20"/>
  <c r="U28" i="20"/>
  <c r="T28" i="20"/>
  <c r="S28" i="20"/>
  <c r="R28" i="20"/>
  <c r="Q28" i="20"/>
  <c r="P28" i="20"/>
  <c r="O28" i="20"/>
  <c r="N28" i="20"/>
  <c r="L28" i="20"/>
  <c r="K28" i="20"/>
  <c r="J28" i="20"/>
  <c r="I28" i="20"/>
  <c r="H28" i="20"/>
  <c r="G28" i="20"/>
  <c r="F28" i="20"/>
  <c r="E28" i="20"/>
  <c r="D28" i="20"/>
  <c r="C28" i="20"/>
  <c r="B28" i="20"/>
  <c r="A28" i="20"/>
  <c r="M28" i="20" s="1"/>
  <c r="Y28" i="20" s="1"/>
  <c r="AJ27" i="20"/>
  <c r="AI27" i="20"/>
  <c r="AH27" i="20"/>
  <c r="AG27" i="20"/>
  <c r="AF27" i="20"/>
  <c r="AE27" i="20"/>
  <c r="AD27" i="20"/>
  <c r="AC27" i="20"/>
  <c r="AB27" i="20"/>
  <c r="AA27" i="20"/>
  <c r="Z27" i="20"/>
  <c r="X27" i="20"/>
  <c r="W27" i="20"/>
  <c r="V27" i="20"/>
  <c r="U27" i="20"/>
  <c r="T27" i="20"/>
  <c r="S27" i="20"/>
  <c r="R27" i="20"/>
  <c r="Q27" i="20"/>
  <c r="P27" i="20"/>
  <c r="O27" i="20"/>
  <c r="N27" i="20"/>
  <c r="L27" i="20"/>
  <c r="K27" i="20"/>
  <c r="J27" i="20"/>
  <c r="I27" i="20"/>
  <c r="H27" i="20"/>
  <c r="G27" i="20"/>
  <c r="F27" i="20"/>
  <c r="E27" i="20"/>
  <c r="D27" i="20"/>
  <c r="C27" i="20"/>
  <c r="B27" i="20"/>
  <c r="A27" i="20"/>
  <c r="M27" i="20" s="1"/>
  <c r="Y27" i="20" s="1"/>
  <c r="AJ26" i="20"/>
  <c r="AI26" i="20"/>
  <c r="AH26" i="20"/>
  <c r="AG26" i="20"/>
  <c r="AF26" i="20"/>
  <c r="AE26" i="20"/>
  <c r="AD26" i="20"/>
  <c r="AC26" i="20"/>
  <c r="AB26" i="20"/>
  <c r="AA26" i="20"/>
  <c r="Z26" i="20"/>
  <c r="X26" i="20"/>
  <c r="W26" i="20"/>
  <c r="V26" i="20"/>
  <c r="U26" i="20"/>
  <c r="T26" i="20"/>
  <c r="S26" i="20"/>
  <c r="R26" i="20"/>
  <c r="Q26" i="20"/>
  <c r="P26" i="20"/>
  <c r="O26" i="20"/>
  <c r="N26" i="20"/>
  <c r="L26" i="20"/>
  <c r="K26" i="20"/>
  <c r="J26" i="20"/>
  <c r="I26" i="20"/>
  <c r="H26" i="20"/>
  <c r="G26" i="20"/>
  <c r="F26" i="20"/>
  <c r="E26" i="20"/>
  <c r="D26" i="20"/>
  <c r="C26" i="20"/>
  <c r="B26" i="20"/>
  <c r="A26" i="20"/>
  <c r="M26" i="20" s="1"/>
  <c r="Y26" i="20" s="1"/>
  <c r="AJ25" i="20"/>
  <c r="AI25" i="20"/>
  <c r="AH25" i="20"/>
  <c r="AG25" i="20"/>
  <c r="AF25" i="20"/>
  <c r="AE25" i="20"/>
  <c r="AD25" i="20"/>
  <c r="AC25" i="20"/>
  <c r="AB25" i="20"/>
  <c r="AA25" i="20"/>
  <c r="Z25" i="20"/>
  <c r="X25" i="20"/>
  <c r="W25" i="20"/>
  <c r="V25" i="20"/>
  <c r="U25" i="20"/>
  <c r="T25" i="20"/>
  <c r="S25" i="20"/>
  <c r="R25" i="20"/>
  <c r="Q25" i="20"/>
  <c r="P25" i="20"/>
  <c r="O25" i="20"/>
  <c r="N25" i="20"/>
  <c r="L25" i="20"/>
  <c r="K25" i="20"/>
  <c r="J25" i="20"/>
  <c r="I25" i="20"/>
  <c r="H25" i="20"/>
  <c r="G25" i="20"/>
  <c r="F25" i="20"/>
  <c r="E25" i="20"/>
  <c r="D25" i="20"/>
  <c r="C25" i="20"/>
  <c r="B25" i="20"/>
  <c r="A25" i="20"/>
  <c r="M25" i="20" s="1"/>
  <c r="Y25" i="20" s="1"/>
  <c r="AJ24" i="20"/>
  <c r="AI24" i="20"/>
  <c r="AH24" i="20"/>
  <c r="AG24" i="20"/>
  <c r="AF24" i="20"/>
  <c r="AE24" i="20"/>
  <c r="AD24" i="20"/>
  <c r="AC24" i="20"/>
  <c r="AB24" i="20"/>
  <c r="AA24" i="20"/>
  <c r="Z24" i="20"/>
  <c r="X24" i="20"/>
  <c r="W24" i="20"/>
  <c r="V24" i="20"/>
  <c r="U24" i="20"/>
  <c r="T24" i="20"/>
  <c r="S24" i="20"/>
  <c r="R24" i="20"/>
  <c r="Q24" i="20"/>
  <c r="P24" i="20"/>
  <c r="O24" i="20"/>
  <c r="N24" i="20"/>
  <c r="L24" i="20"/>
  <c r="K24" i="20"/>
  <c r="J24" i="20"/>
  <c r="I24" i="20"/>
  <c r="H24" i="20"/>
  <c r="G24" i="20"/>
  <c r="F24" i="20"/>
  <c r="E24" i="20"/>
  <c r="D24" i="20"/>
  <c r="C24" i="20"/>
  <c r="B24" i="20"/>
  <c r="A24" i="20"/>
  <c r="M24" i="20" s="1"/>
  <c r="Y24" i="20" s="1"/>
  <c r="AJ23" i="20"/>
  <c r="AI23" i="20"/>
  <c r="AH23" i="20"/>
  <c r="AG23" i="20"/>
  <c r="AF23" i="20"/>
  <c r="AE23" i="20"/>
  <c r="AD23" i="20"/>
  <c r="AC23" i="20"/>
  <c r="AB23" i="20"/>
  <c r="AA23" i="20"/>
  <c r="Z23" i="20"/>
  <c r="X23" i="20"/>
  <c r="W23" i="20"/>
  <c r="V23" i="20"/>
  <c r="U23" i="20"/>
  <c r="T23" i="20"/>
  <c r="S23" i="20"/>
  <c r="R23" i="20"/>
  <c r="Q23" i="20"/>
  <c r="P23" i="20"/>
  <c r="O23" i="20"/>
  <c r="N23" i="20"/>
  <c r="L23" i="20"/>
  <c r="K23" i="20"/>
  <c r="J23" i="20"/>
  <c r="I23" i="20"/>
  <c r="H23" i="20"/>
  <c r="G23" i="20"/>
  <c r="F23" i="20"/>
  <c r="E23" i="20"/>
  <c r="D23" i="20"/>
  <c r="C23" i="20"/>
  <c r="B23" i="20"/>
  <c r="A23" i="20"/>
  <c r="M23" i="20" s="1"/>
  <c r="Y23" i="20" s="1"/>
  <c r="AJ22" i="20"/>
  <c r="AI22" i="20"/>
  <c r="AH22" i="20"/>
  <c r="AG22" i="20"/>
  <c r="AF22" i="20"/>
  <c r="AE22" i="20"/>
  <c r="AD22" i="20"/>
  <c r="AC22" i="20"/>
  <c r="AB22" i="20"/>
  <c r="AA22" i="20"/>
  <c r="Z22" i="20"/>
  <c r="X22" i="20"/>
  <c r="W22" i="20"/>
  <c r="V22" i="20"/>
  <c r="U22" i="20"/>
  <c r="T22" i="20"/>
  <c r="S22" i="20"/>
  <c r="R22" i="20"/>
  <c r="Q22" i="20"/>
  <c r="P22" i="20"/>
  <c r="O22" i="20"/>
  <c r="N22" i="20"/>
  <c r="L22" i="20"/>
  <c r="K22" i="20"/>
  <c r="J22" i="20"/>
  <c r="I22" i="20"/>
  <c r="H22" i="20"/>
  <c r="G22" i="20"/>
  <c r="F22" i="20"/>
  <c r="E22" i="20"/>
  <c r="D22" i="20"/>
  <c r="C22" i="20"/>
  <c r="B22" i="20"/>
  <c r="A22" i="20"/>
  <c r="M22" i="20" s="1"/>
  <c r="Y22" i="20" s="1"/>
  <c r="AJ21" i="20"/>
  <c r="AI21" i="20"/>
  <c r="AH21" i="20"/>
  <c r="AG21" i="20"/>
  <c r="AF21" i="20"/>
  <c r="AE21" i="20"/>
  <c r="AD21" i="20"/>
  <c r="AC21" i="20"/>
  <c r="AB21" i="20"/>
  <c r="AA21" i="20"/>
  <c r="Z21" i="20"/>
  <c r="X21" i="20"/>
  <c r="W21" i="20"/>
  <c r="V21" i="20"/>
  <c r="U21" i="20"/>
  <c r="T21" i="20"/>
  <c r="S21" i="20"/>
  <c r="R21" i="20"/>
  <c r="Q21" i="20"/>
  <c r="P21" i="20"/>
  <c r="O21" i="20"/>
  <c r="N21" i="20"/>
  <c r="L21" i="20"/>
  <c r="K21" i="20"/>
  <c r="J21" i="20"/>
  <c r="I21" i="20"/>
  <c r="H21" i="20"/>
  <c r="G21" i="20"/>
  <c r="F21" i="20"/>
  <c r="E21" i="20"/>
  <c r="D21" i="20"/>
  <c r="C21" i="20"/>
  <c r="B21" i="20"/>
  <c r="A21" i="20"/>
  <c r="M21" i="20" s="1"/>
  <c r="Y21" i="20" s="1"/>
  <c r="AJ20" i="20"/>
  <c r="AI20" i="20"/>
  <c r="AH20" i="20"/>
  <c r="AG20" i="20"/>
  <c r="AF20" i="20"/>
  <c r="AE20" i="20"/>
  <c r="AD20" i="20"/>
  <c r="AC20" i="20"/>
  <c r="AB20" i="20"/>
  <c r="AA20" i="20"/>
  <c r="Z20" i="20"/>
  <c r="X20" i="20"/>
  <c r="W20" i="20"/>
  <c r="V20" i="20"/>
  <c r="U20" i="20"/>
  <c r="T20" i="20"/>
  <c r="S20" i="20"/>
  <c r="R20" i="20"/>
  <c r="Q20" i="20"/>
  <c r="P20" i="20"/>
  <c r="O20" i="20"/>
  <c r="N20" i="20"/>
  <c r="L20" i="20"/>
  <c r="K20" i="20"/>
  <c r="J20" i="20"/>
  <c r="I20" i="20"/>
  <c r="H20" i="20"/>
  <c r="G20" i="20"/>
  <c r="F20" i="20"/>
  <c r="E20" i="20"/>
  <c r="D20" i="20"/>
  <c r="C20" i="20"/>
  <c r="B20" i="20"/>
  <c r="A20" i="20"/>
  <c r="M20" i="20" s="1"/>
  <c r="Y20" i="20" s="1"/>
  <c r="AJ19" i="20"/>
  <c r="AI19" i="20"/>
  <c r="AH19" i="20"/>
  <c r="AG19" i="20"/>
  <c r="AF19" i="20"/>
  <c r="AE19" i="20"/>
  <c r="AD19" i="20"/>
  <c r="AC19" i="20"/>
  <c r="AB19" i="20"/>
  <c r="AA19" i="20"/>
  <c r="Z19" i="20"/>
  <c r="X19" i="20"/>
  <c r="W19" i="20"/>
  <c r="V19" i="20"/>
  <c r="U19" i="20"/>
  <c r="T19" i="20"/>
  <c r="S19" i="20"/>
  <c r="R19" i="20"/>
  <c r="Q19" i="20"/>
  <c r="P19" i="20"/>
  <c r="O19" i="20"/>
  <c r="N19" i="20"/>
  <c r="L19" i="20"/>
  <c r="K19" i="20"/>
  <c r="J19" i="20"/>
  <c r="I19" i="20"/>
  <c r="H19" i="20"/>
  <c r="G19" i="20"/>
  <c r="F19" i="20"/>
  <c r="E19" i="20"/>
  <c r="D19" i="20"/>
  <c r="C19" i="20"/>
  <c r="B19" i="20"/>
  <c r="A19" i="20"/>
  <c r="M19" i="20" s="1"/>
  <c r="Y19" i="20" s="1"/>
  <c r="AJ18" i="20"/>
  <c r="AI18" i="20"/>
  <c r="AH18" i="20"/>
  <c r="AG18" i="20"/>
  <c r="AF18" i="20"/>
  <c r="AE18" i="20"/>
  <c r="AD18" i="20"/>
  <c r="AC18" i="20"/>
  <c r="AB18" i="20"/>
  <c r="AA18" i="20"/>
  <c r="Z18" i="20"/>
  <c r="X18" i="20"/>
  <c r="W18" i="20"/>
  <c r="V18" i="20"/>
  <c r="U18" i="20"/>
  <c r="T18" i="20"/>
  <c r="S18" i="20"/>
  <c r="R18" i="20"/>
  <c r="Q18" i="20"/>
  <c r="P18" i="20"/>
  <c r="O18" i="20"/>
  <c r="N18" i="20"/>
  <c r="L18" i="20"/>
  <c r="K18" i="20"/>
  <c r="J18" i="20"/>
  <c r="I18" i="20"/>
  <c r="H18" i="20"/>
  <c r="G18" i="20"/>
  <c r="F18" i="20"/>
  <c r="E18" i="20"/>
  <c r="D18" i="20"/>
  <c r="C18" i="20"/>
  <c r="B18" i="20"/>
  <c r="A18" i="20"/>
  <c r="M18" i="20" s="1"/>
  <c r="Y18" i="20" s="1"/>
  <c r="AJ17" i="20"/>
  <c r="AI17" i="20"/>
  <c r="AH17" i="20"/>
  <c r="AG17" i="20"/>
  <c r="AF17" i="20"/>
  <c r="AE17" i="20"/>
  <c r="AD17" i="20"/>
  <c r="AC17" i="20"/>
  <c r="AB17" i="20"/>
  <c r="AA17" i="20"/>
  <c r="Z17" i="20"/>
  <c r="X17" i="20"/>
  <c r="W17" i="20"/>
  <c r="V17" i="20"/>
  <c r="U17" i="20"/>
  <c r="T17" i="20"/>
  <c r="S17" i="20"/>
  <c r="R17" i="20"/>
  <c r="Q17" i="20"/>
  <c r="P17" i="20"/>
  <c r="O17" i="20"/>
  <c r="N17" i="20"/>
  <c r="L17" i="20"/>
  <c r="K17" i="20"/>
  <c r="J17" i="20"/>
  <c r="I17" i="20"/>
  <c r="H17" i="20"/>
  <c r="G17" i="20"/>
  <c r="F17" i="20"/>
  <c r="E17" i="20"/>
  <c r="D17" i="20"/>
  <c r="C17" i="20"/>
  <c r="B17" i="20"/>
  <c r="A17" i="20"/>
  <c r="M17" i="20" s="1"/>
  <c r="Y17" i="20" s="1"/>
  <c r="AJ16" i="20"/>
  <c r="AI16" i="20"/>
  <c r="AH16" i="20"/>
  <c r="AG16" i="20"/>
  <c r="AF16" i="20"/>
  <c r="AE16" i="20"/>
  <c r="AD16" i="20"/>
  <c r="AC16" i="20"/>
  <c r="AB16" i="20"/>
  <c r="AA16" i="20"/>
  <c r="Z16" i="20"/>
  <c r="X16" i="20"/>
  <c r="W16" i="20"/>
  <c r="V16" i="20"/>
  <c r="U16" i="20"/>
  <c r="T16" i="20"/>
  <c r="S16" i="20"/>
  <c r="R16" i="20"/>
  <c r="Q16" i="20"/>
  <c r="P16" i="20"/>
  <c r="O16" i="20"/>
  <c r="N16" i="20"/>
  <c r="L16" i="20"/>
  <c r="K16" i="20"/>
  <c r="J16" i="20"/>
  <c r="I16" i="20"/>
  <c r="H16" i="20"/>
  <c r="G16" i="20"/>
  <c r="F16" i="20"/>
  <c r="E16" i="20"/>
  <c r="D16" i="20"/>
  <c r="C16" i="20"/>
  <c r="B16" i="20"/>
  <c r="A16" i="20"/>
  <c r="M16" i="20" s="1"/>
  <c r="Y16" i="20" s="1"/>
  <c r="AJ15" i="20"/>
  <c r="AI15" i="20"/>
  <c r="AH15" i="20"/>
  <c r="AG15" i="20"/>
  <c r="AF15" i="20"/>
  <c r="AE15" i="20"/>
  <c r="AD15" i="20"/>
  <c r="AC15" i="20"/>
  <c r="AB15" i="20"/>
  <c r="AA15" i="20"/>
  <c r="Z15" i="20"/>
  <c r="X15" i="20"/>
  <c r="W15" i="20"/>
  <c r="V15" i="20"/>
  <c r="U15" i="20"/>
  <c r="T15" i="20"/>
  <c r="S15" i="20"/>
  <c r="R15" i="20"/>
  <c r="Q15" i="20"/>
  <c r="P15" i="20"/>
  <c r="O15" i="20"/>
  <c r="N15" i="20"/>
  <c r="L15" i="20"/>
  <c r="K15" i="20"/>
  <c r="J15" i="20"/>
  <c r="I15" i="20"/>
  <c r="H15" i="20"/>
  <c r="G15" i="20"/>
  <c r="F15" i="20"/>
  <c r="E15" i="20"/>
  <c r="D15" i="20"/>
  <c r="C15" i="20"/>
  <c r="B15" i="20"/>
  <c r="A15" i="20"/>
  <c r="M15" i="20" s="1"/>
  <c r="Y15" i="20" s="1"/>
  <c r="AJ14" i="20"/>
  <c r="AI14" i="20"/>
  <c r="AH14" i="20"/>
  <c r="AG14" i="20"/>
  <c r="AF14" i="20"/>
  <c r="AE14" i="20"/>
  <c r="AD14" i="20"/>
  <c r="AC14" i="20"/>
  <c r="AB14" i="20"/>
  <c r="AA14" i="20"/>
  <c r="Z14" i="20"/>
  <c r="X14" i="20"/>
  <c r="W14" i="20"/>
  <c r="V14" i="20"/>
  <c r="U14" i="20"/>
  <c r="T14" i="20"/>
  <c r="S14" i="20"/>
  <c r="R14" i="20"/>
  <c r="Q14" i="20"/>
  <c r="P14" i="20"/>
  <c r="O14" i="20"/>
  <c r="N14" i="20"/>
  <c r="L14" i="20"/>
  <c r="K14" i="20"/>
  <c r="J14" i="20"/>
  <c r="I14" i="20"/>
  <c r="H14" i="20"/>
  <c r="G14" i="20"/>
  <c r="F14" i="20"/>
  <c r="E14" i="20"/>
  <c r="D14" i="20"/>
  <c r="C14" i="20"/>
  <c r="B14" i="20"/>
  <c r="A14" i="20"/>
  <c r="M14" i="20" s="1"/>
  <c r="Y14" i="20" s="1"/>
  <c r="AJ13" i="20"/>
  <c r="AI13" i="20"/>
  <c r="AH13" i="20"/>
  <c r="AG13" i="20"/>
  <c r="AF13" i="20"/>
  <c r="AE13" i="20"/>
  <c r="AD13" i="20"/>
  <c r="AC13" i="20"/>
  <c r="AB13" i="20"/>
  <c r="AA13" i="20"/>
  <c r="Z13" i="20"/>
  <c r="X13" i="20"/>
  <c r="W13" i="20"/>
  <c r="V13" i="20"/>
  <c r="U13" i="20"/>
  <c r="T13" i="20"/>
  <c r="S13" i="20"/>
  <c r="R13" i="20"/>
  <c r="Q13" i="20"/>
  <c r="P13" i="20"/>
  <c r="O13" i="20"/>
  <c r="N13" i="20"/>
  <c r="L13" i="20"/>
  <c r="K13" i="20"/>
  <c r="J13" i="20"/>
  <c r="I13" i="20"/>
  <c r="H13" i="20"/>
  <c r="G13" i="20"/>
  <c r="F13" i="20"/>
  <c r="E13" i="20"/>
  <c r="D13" i="20"/>
  <c r="C13" i="20"/>
  <c r="B13" i="20"/>
  <c r="A13" i="20"/>
  <c r="M13" i="20" s="1"/>
  <c r="Y13" i="20" s="1"/>
  <c r="AJ12" i="20"/>
  <c r="AI12" i="20"/>
  <c r="AH12" i="20"/>
  <c r="AG12" i="20"/>
  <c r="AF12" i="20"/>
  <c r="AE12" i="20"/>
  <c r="AD12" i="20"/>
  <c r="AC12" i="20"/>
  <c r="AB12" i="20"/>
  <c r="AA12" i="20"/>
  <c r="Z12" i="20"/>
  <c r="X12" i="20"/>
  <c r="W12" i="20"/>
  <c r="V12" i="20"/>
  <c r="U12" i="20"/>
  <c r="T12" i="20"/>
  <c r="S12" i="20"/>
  <c r="R12" i="20"/>
  <c r="Q12" i="20"/>
  <c r="P12" i="20"/>
  <c r="O12" i="20"/>
  <c r="N12" i="20"/>
  <c r="L12" i="20"/>
  <c r="K12" i="20"/>
  <c r="J12" i="20"/>
  <c r="I12" i="20"/>
  <c r="H12" i="20"/>
  <c r="G12" i="20"/>
  <c r="F12" i="20"/>
  <c r="E12" i="20"/>
  <c r="D12" i="20"/>
  <c r="C12" i="20"/>
  <c r="B12" i="20"/>
  <c r="A12" i="20"/>
  <c r="M12" i="20" s="1"/>
  <c r="Y12" i="20" s="1"/>
  <c r="AJ11" i="20"/>
  <c r="AI11" i="20"/>
  <c r="AH11" i="20"/>
  <c r="AG11" i="20"/>
  <c r="AF11" i="20"/>
  <c r="AE11" i="20"/>
  <c r="AD11" i="20"/>
  <c r="AC11" i="20"/>
  <c r="AB11" i="20"/>
  <c r="AA11" i="20"/>
  <c r="Z11" i="20"/>
  <c r="X11" i="20"/>
  <c r="W11" i="20"/>
  <c r="V11" i="20"/>
  <c r="U11" i="20"/>
  <c r="T11" i="20"/>
  <c r="S11" i="20"/>
  <c r="R11" i="20"/>
  <c r="Q11" i="20"/>
  <c r="P11" i="20"/>
  <c r="O11" i="20"/>
  <c r="N11" i="20"/>
  <c r="L11" i="20"/>
  <c r="K11" i="20"/>
  <c r="J11" i="20"/>
  <c r="I11" i="20"/>
  <c r="H11" i="20"/>
  <c r="G11" i="20"/>
  <c r="F11" i="20"/>
  <c r="E11" i="20"/>
  <c r="D11" i="20"/>
  <c r="C11" i="20"/>
  <c r="B11" i="20"/>
  <c r="A11" i="20"/>
  <c r="M11" i="20" s="1"/>
  <c r="Y11" i="20" s="1"/>
  <c r="AJ10" i="20"/>
  <c r="AI10" i="20"/>
  <c r="AH10" i="20"/>
  <c r="AG10" i="20"/>
  <c r="AF10" i="20"/>
  <c r="AE10" i="20"/>
  <c r="AD10" i="20"/>
  <c r="AC10" i="20"/>
  <c r="AB10" i="20"/>
  <c r="AA10" i="20"/>
  <c r="Z10" i="20"/>
  <c r="X10" i="20"/>
  <c r="W10" i="20"/>
  <c r="V10" i="20"/>
  <c r="U10" i="20"/>
  <c r="T10" i="20"/>
  <c r="S10" i="20"/>
  <c r="R10" i="20"/>
  <c r="Q10" i="20"/>
  <c r="P10" i="20"/>
  <c r="O10" i="20"/>
  <c r="N10" i="20"/>
  <c r="L10" i="20"/>
  <c r="K10" i="20"/>
  <c r="J10" i="20"/>
  <c r="I10" i="20"/>
  <c r="H10" i="20"/>
  <c r="G10" i="20"/>
  <c r="F10" i="20"/>
  <c r="E10" i="20"/>
  <c r="D10" i="20"/>
  <c r="C10" i="20"/>
  <c r="B10" i="20"/>
  <c r="A10" i="20"/>
  <c r="M10" i="20" s="1"/>
  <c r="Y10" i="20" s="1"/>
  <c r="AJ9" i="20"/>
  <c r="AI9" i="20"/>
  <c r="AH9" i="20"/>
  <c r="AG9" i="20"/>
  <c r="AF9" i="20"/>
  <c r="AE9" i="20"/>
  <c r="AD9" i="20"/>
  <c r="AC9" i="20"/>
  <c r="AB9" i="20"/>
  <c r="AA9" i="20"/>
  <c r="Z9" i="20"/>
  <c r="X9" i="20"/>
  <c r="W9" i="20"/>
  <c r="V9" i="20"/>
  <c r="U9" i="20"/>
  <c r="T9" i="20"/>
  <c r="S9" i="20"/>
  <c r="R9" i="20"/>
  <c r="Q9" i="20"/>
  <c r="P9" i="20"/>
  <c r="O9" i="20"/>
  <c r="N9" i="20"/>
  <c r="L9" i="20"/>
  <c r="K9" i="20"/>
  <c r="J9" i="20"/>
  <c r="I9" i="20"/>
  <c r="H9" i="20"/>
  <c r="G9" i="20"/>
  <c r="F9" i="20"/>
  <c r="E9" i="20"/>
  <c r="D9" i="20"/>
  <c r="C9" i="20"/>
  <c r="B9" i="20"/>
  <c r="A9" i="20"/>
  <c r="M9" i="20" s="1"/>
  <c r="Y9" i="20" s="1"/>
  <c r="AJ8" i="20"/>
  <c r="AI8" i="20"/>
  <c r="AH8" i="20"/>
  <c r="AG8" i="20"/>
  <c r="AF8" i="20"/>
  <c r="AE8" i="20"/>
  <c r="AD8" i="20"/>
  <c r="AC8" i="20"/>
  <c r="AB8" i="20"/>
  <c r="AA8" i="20"/>
  <c r="Z8" i="20"/>
  <c r="X8" i="20"/>
  <c r="W8" i="20"/>
  <c r="V8" i="20"/>
  <c r="U8" i="20"/>
  <c r="T8" i="20"/>
  <c r="S8" i="20"/>
  <c r="R8" i="20"/>
  <c r="Q8" i="20"/>
  <c r="P8" i="20"/>
  <c r="O8" i="20"/>
  <c r="N8" i="20"/>
  <c r="L8" i="20"/>
  <c r="K8" i="20"/>
  <c r="J8" i="20"/>
  <c r="I8" i="20"/>
  <c r="H8" i="20"/>
  <c r="G8" i="20"/>
  <c r="F8" i="20"/>
  <c r="E8" i="20"/>
  <c r="D8" i="20"/>
  <c r="C8" i="20"/>
  <c r="B8" i="20"/>
  <c r="A8" i="20"/>
  <c r="M8" i="20" s="1"/>
  <c r="Y8" i="20" s="1"/>
  <c r="AJ7" i="20"/>
  <c r="AI7" i="20"/>
  <c r="AH7" i="20"/>
  <c r="AG7" i="20"/>
  <c r="AF7" i="20"/>
  <c r="AE7" i="20"/>
  <c r="AD7" i="20"/>
  <c r="AC7" i="20"/>
  <c r="AB7" i="20"/>
  <c r="AA7" i="20"/>
  <c r="Z7" i="20"/>
  <c r="X7" i="20"/>
  <c r="W7" i="20"/>
  <c r="V7" i="20"/>
  <c r="U7" i="20"/>
  <c r="T7" i="20"/>
  <c r="S7" i="20"/>
  <c r="R7" i="20"/>
  <c r="Q7" i="20"/>
  <c r="P7" i="20"/>
  <c r="O7" i="20"/>
  <c r="N7" i="20"/>
  <c r="L7" i="20"/>
  <c r="K7" i="20"/>
  <c r="J7" i="20"/>
  <c r="I7" i="20"/>
  <c r="H7" i="20"/>
  <c r="G7" i="20"/>
  <c r="F7" i="20"/>
  <c r="E7" i="20"/>
  <c r="D7" i="20"/>
  <c r="C7" i="20"/>
  <c r="B7" i="20"/>
  <c r="A7" i="20"/>
  <c r="M7" i="20" s="1"/>
  <c r="Y7" i="20" s="1"/>
  <c r="AJ6" i="20"/>
  <c r="AI6" i="20"/>
  <c r="AH6" i="20"/>
  <c r="AG6" i="20"/>
  <c r="AF6" i="20"/>
  <c r="AE6" i="20"/>
  <c r="AD6" i="20"/>
  <c r="AC6" i="20"/>
  <c r="AB6" i="20"/>
  <c r="AA6" i="20"/>
  <c r="Z6" i="20"/>
  <c r="X6" i="20"/>
  <c r="W6" i="20"/>
  <c r="V6" i="20"/>
  <c r="U6" i="20"/>
  <c r="T6" i="20"/>
  <c r="S6" i="20"/>
  <c r="R6" i="20"/>
  <c r="Q6" i="20"/>
  <c r="P6" i="20"/>
  <c r="O6" i="20"/>
  <c r="N6" i="20"/>
  <c r="L6" i="20"/>
  <c r="K6" i="20"/>
  <c r="J6" i="20"/>
  <c r="I6" i="20"/>
  <c r="H6" i="20"/>
  <c r="G6" i="20"/>
  <c r="F6" i="20"/>
  <c r="E6" i="20"/>
  <c r="D6" i="20"/>
  <c r="C6" i="20"/>
  <c r="B6" i="20"/>
  <c r="A6" i="20"/>
  <c r="M6" i="20" s="1"/>
  <c r="Y6" i="20" s="1"/>
  <c r="AJ5" i="20"/>
  <c r="AI5" i="20"/>
  <c r="AH5" i="20"/>
  <c r="AG5" i="20"/>
  <c r="AF5" i="20"/>
  <c r="AE5" i="20"/>
  <c r="AD5" i="20"/>
  <c r="AC5" i="20"/>
  <c r="AB5" i="20"/>
  <c r="AA5" i="20"/>
  <c r="Z5" i="20"/>
  <c r="X5" i="20"/>
  <c r="W5" i="20"/>
  <c r="V5" i="20"/>
  <c r="U5" i="20"/>
  <c r="T5" i="20"/>
  <c r="S5" i="20"/>
  <c r="R5" i="20"/>
  <c r="Q5" i="20"/>
  <c r="P5" i="20"/>
  <c r="O5" i="20"/>
  <c r="N5" i="20"/>
  <c r="L5" i="20"/>
  <c r="K5" i="20"/>
  <c r="J5" i="20"/>
  <c r="I5" i="20"/>
  <c r="H5" i="20"/>
  <c r="G5" i="20"/>
  <c r="F5" i="20"/>
  <c r="E5" i="20"/>
  <c r="D5" i="20"/>
  <c r="C5" i="20"/>
  <c r="B5" i="20"/>
  <c r="A5" i="20"/>
  <c r="M5" i="20" s="1"/>
  <c r="Y5" i="20" s="1"/>
  <c r="AJ4" i="20"/>
  <c r="AI4" i="20"/>
  <c r="AH4" i="20"/>
  <c r="AG4" i="20"/>
  <c r="AF4" i="20"/>
  <c r="AE4" i="20"/>
  <c r="AD4" i="20"/>
  <c r="AC4" i="20"/>
  <c r="AB4" i="20"/>
  <c r="AA4" i="20"/>
  <c r="Z4" i="20"/>
  <c r="X4" i="20"/>
  <c r="W4" i="20"/>
  <c r="V4" i="20"/>
  <c r="U4" i="20"/>
  <c r="T4" i="20"/>
  <c r="S4" i="20"/>
  <c r="R4" i="20"/>
  <c r="Q4" i="20"/>
  <c r="P4" i="20"/>
  <c r="O4" i="20"/>
  <c r="N4" i="20"/>
  <c r="L4" i="20"/>
  <c r="K4" i="20"/>
  <c r="J4" i="20"/>
  <c r="I4" i="20"/>
  <c r="H4" i="20"/>
  <c r="G4" i="20"/>
  <c r="F4" i="20"/>
  <c r="E4" i="20"/>
  <c r="D4" i="20"/>
  <c r="C4" i="20"/>
  <c r="B4" i="20"/>
  <c r="A4" i="20"/>
  <c r="M4" i="20" s="1"/>
  <c r="Y4" i="20" s="1"/>
  <c r="AJ3" i="20"/>
  <c r="AI3" i="20"/>
  <c r="AH3" i="20"/>
  <c r="AG3" i="20"/>
  <c r="AF3" i="20"/>
  <c r="AE3" i="20"/>
  <c r="AD3" i="20"/>
  <c r="AC3" i="20"/>
  <c r="AB3" i="20"/>
  <c r="AA3" i="20"/>
  <c r="Z3" i="20"/>
  <c r="X3" i="20"/>
  <c r="W3" i="20"/>
  <c r="V3" i="20"/>
  <c r="U3" i="20"/>
  <c r="T3" i="20"/>
  <c r="S3" i="20"/>
  <c r="R3" i="20"/>
  <c r="Q3" i="20"/>
  <c r="P3" i="20"/>
  <c r="O3" i="20"/>
  <c r="N3" i="20"/>
  <c r="L3" i="20"/>
  <c r="K3" i="20"/>
  <c r="J3" i="20"/>
  <c r="I3" i="20"/>
  <c r="H3" i="20"/>
  <c r="G3" i="20"/>
  <c r="F3" i="20"/>
  <c r="E3" i="20"/>
  <c r="D3" i="20"/>
  <c r="C3" i="20"/>
  <c r="B3" i="20"/>
  <c r="A3" i="20"/>
  <c r="M3" i="20" s="1"/>
  <c r="Y3" i="20" s="1"/>
  <c r="L2" i="20"/>
  <c r="X2" i="20" s="1"/>
  <c r="AJ2" i="20" s="1"/>
  <c r="K2" i="20"/>
  <c r="W2" i="20" s="1"/>
  <c r="AI2" i="20" s="1"/>
  <c r="J2" i="20"/>
  <c r="V2" i="20" s="1"/>
  <c r="AH2" i="20" s="1"/>
  <c r="I2" i="20"/>
  <c r="U2" i="20" s="1"/>
  <c r="AG2" i="20" s="1"/>
  <c r="H2" i="20"/>
  <c r="T2" i="20" s="1"/>
  <c r="AF2" i="20" s="1"/>
  <c r="G2" i="20"/>
  <c r="S2" i="20" s="1"/>
  <c r="AE2" i="20" s="1"/>
  <c r="F2" i="20"/>
  <c r="R2" i="20" s="1"/>
  <c r="AD2" i="20" s="1"/>
  <c r="E2" i="20"/>
  <c r="Q2" i="20" s="1"/>
  <c r="AC2" i="20" s="1"/>
  <c r="D2" i="20"/>
  <c r="P2" i="20" s="1"/>
  <c r="AB2" i="20" s="1"/>
  <c r="C2" i="20"/>
  <c r="O2" i="20" s="1"/>
  <c r="AA2" i="20" s="1"/>
  <c r="B2" i="20"/>
  <c r="N2" i="20" s="1"/>
  <c r="Z2" i="20" s="1"/>
  <c r="C8" i="21" l="1"/>
  <c r="C3" i="21" s="1"/>
  <c r="G8" i="21"/>
  <c r="G3" i="21" s="1"/>
  <c r="K8" i="21"/>
  <c r="K3" i="21" s="1"/>
  <c r="D8" i="21"/>
  <c r="D3" i="21" s="1"/>
  <c r="H8" i="21"/>
  <c r="H3" i="21" s="1"/>
  <c r="L8" i="21"/>
  <c r="L3" i="21" s="1"/>
  <c r="E8" i="21"/>
  <c r="E3" i="21" s="1"/>
  <c r="I8" i="21"/>
  <c r="I3" i="21" s="1"/>
  <c r="B8" i="21"/>
  <c r="B3" i="21" s="1"/>
  <c r="F8" i="21"/>
  <c r="F3" i="21" s="1"/>
  <c r="J8" i="21"/>
  <c r="J3" i="21" s="1"/>
  <c r="C8" i="16"/>
  <c r="C7" i="21" l="1"/>
  <c r="D7" i="21" s="1"/>
  <c r="E7" i="21" s="1"/>
  <c r="F7" i="21" s="1"/>
  <c r="G7" i="21" s="1"/>
  <c r="H7" i="21" s="1"/>
  <c r="I7" i="21" s="1"/>
  <c r="J7" i="21" s="1"/>
  <c r="K7" i="21" s="1"/>
  <c r="L7" i="21" s="1"/>
  <c r="C6" i="21"/>
  <c r="D6" i="21" s="1"/>
  <c r="E6" i="21" s="1"/>
  <c r="F6" i="21" s="1"/>
  <c r="G6" i="21" s="1"/>
  <c r="H6" i="21" s="1"/>
  <c r="I6" i="21" s="1"/>
  <c r="J6" i="21" s="1"/>
  <c r="K6" i="21" s="1"/>
  <c r="L6" i="21" s="1"/>
  <c r="C5" i="21"/>
  <c r="D5" i="21" s="1"/>
  <c r="E5" i="21" s="1"/>
  <c r="F5" i="21" s="1"/>
  <c r="G5" i="21" s="1"/>
  <c r="H5" i="21" s="1"/>
  <c r="I5" i="21" s="1"/>
  <c r="J5" i="21" s="1"/>
  <c r="K5" i="21" s="1"/>
  <c r="L5" i="21" s="1"/>
  <c r="C4" i="21"/>
  <c r="D4" i="21" s="1"/>
  <c r="E4" i="21" s="1"/>
  <c r="F4" i="21" s="1"/>
  <c r="G4" i="21" s="1"/>
  <c r="H4" i="21" s="1"/>
  <c r="I4" i="21" s="1"/>
  <c r="J4" i="21" s="1"/>
  <c r="K4" i="21" s="1"/>
  <c r="L4" i="21" s="1"/>
  <c r="I62" i="1"/>
  <c r="I63" i="1"/>
  <c r="I64" i="1"/>
  <c r="I65" i="1"/>
  <c r="I58" i="1"/>
  <c r="I59" i="1"/>
  <c r="I60" i="1"/>
  <c r="I61" i="1"/>
  <c r="I66" i="1"/>
  <c r="I51" i="1"/>
  <c r="I52" i="1"/>
  <c r="I53" i="1"/>
  <c r="I54" i="1"/>
  <c r="I55" i="1"/>
  <c r="I56" i="1"/>
  <c r="I57" i="1"/>
  <c r="I45" i="1"/>
  <c r="I46" i="1"/>
  <c r="I47" i="1"/>
  <c r="I48" i="1"/>
  <c r="I49" i="1"/>
  <c r="I50" i="1"/>
  <c r="I44" i="1"/>
  <c r="C63" i="21" l="1"/>
  <c r="D63" i="21" s="1"/>
  <c r="E63" i="21" s="1"/>
  <c r="F63" i="21" s="1"/>
  <c r="G63" i="21" s="1"/>
  <c r="H63" i="21" s="1"/>
  <c r="I63" i="21" s="1"/>
  <c r="J63" i="21" s="1"/>
  <c r="K63" i="21" s="1"/>
  <c r="L63" i="21" s="1"/>
  <c r="F163" i="1"/>
  <c r="C58" i="21" l="1"/>
  <c r="D58" i="21" s="1"/>
  <c r="C61" i="21"/>
  <c r="D61" i="21" s="1"/>
  <c r="C60" i="21"/>
  <c r="D60" i="21" s="1"/>
  <c r="C39" i="21"/>
  <c r="D39" i="21" s="1"/>
  <c r="E39" i="21" s="1"/>
  <c r="F39" i="21" s="1"/>
  <c r="G39" i="21" s="1"/>
  <c r="H39" i="21" s="1"/>
  <c r="I39" i="21" s="1"/>
  <c r="J39" i="21" s="1"/>
  <c r="K39" i="21" s="1"/>
  <c r="L39" i="21" s="1"/>
  <c r="C51" i="21"/>
  <c r="D51" i="21" s="1"/>
  <c r="E51" i="21" s="1"/>
  <c r="F51" i="21" s="1"/>
  <c r="G51" i="21" s="1"/>
  <c r="H51" i="21" s="1"/>
  <c r="I51" i="21" s="1"/>
  <c r="J51" i="21" s="1"/>
  <c r="K51" i="21" s="1"/>
  <c r="L51" i="21" s="1"/>
  <c r="C27" i="21"/>
  <c r="D27" i="21" s="1"/>
  <c r="E27" i="21" s="1"/>
  <c r="F27" i="21" s="1"/>
  <c r="G27" i="21" s="1"/>
  <c r="H27" i="21" s="1"/>
  <c r="I27" i="21" s="1"/>
  <c r="J27" i="21" s="1"/>
  <c r="K27" i="21" s="1"/>
  <c r="L27" i="21" s="1"/>
  <c r="G88" i="21"/>
  <c r="J90" i="21"/>
  <c r="C36" i="21"/>
  <c r="D36" i="21" s="1"/>
  <c r="E36" i="21" s="1"/>
  <c r="F36" i="21" s="1"/>
  <c r="G36" i="21" s="1"/>
  <c r="H36" i="21" s="1"/>
  <c r="I36" i="21" s="1"/>
  <c r="J36" i="21" s="1"/>
  <c r="K36" i="21" s="1"/>
  <c r="L36" i="21" s="1"/>
  <c r="G90" i="21"/>
  <c r="J83" i="21"/>
  <c r="J89" i="21"/>
  <c r="G83" i="21"/>
  <c r="F89" i="21"/>
  <c r="J85" i="21"/>
  <c r="F84" i="21"/>
  <c r="J84" i="21"/>
  <c r="G89" i="21"/>
  <c r="F87" i="21"/>
  <c r="F88" i="21"/>
  <c r="C46" i="21"/>
  <c r="D46" i="21" s="1"/>
  <c r="E46" i="21" s="1"/>
  <c r="F46" i="21" s="1"/>
  <c r="G46" i="21" s="1"/>
  <c r="H46" i="21" s="1"/>
  <c r="I46" i="21" s="1"/>
  <c r="J46" i="21" s="1"/>
  <c r="K46" i="21" s="1"/>
  <c r="L46" i="21" s="1"/>
  <c r="E90" i="21"/>
  <c r="E86" i="21"/>
  <c r="E87" i="21"/>
  <c r="E84" i="21"/>
  <c r="E88" i="21"/>
  <c r="E85" i="21"/>
  <c r="E89" i="21"/>
  <c r="E83" i="21"/>
  <c r="I90" i="21"/>
  <c r="I86" i="21"/>
  <c r="I85" i="21"/>
  <c r="I87" i="21"/>
  <c r="I84" i="21"/>
  <c r="I88" i="21"/>
  <c r="I89" i="21"/>
  <c r="I83" i="21"/>
  <c r="J87" i="21"/>
  <c r="G87" i="21"/>
  <c r="G85" i="21"/>
  <c r="F86" i="21"/>
  <c r="F83" i="21"/>
  <c r="D90" i="21"/>
  <c r="D87" i="21"/>
  <c r="D83" i="21"/>
  <c r="D89" i="21"/>
  <c r="D86" i="21"/>
  <c r="D88" i="21"/>
  <c r="D84" i="21"/>
  <c r="D85" i="21"/>
  <c r="K88" i="21"/>
  <c r="K85" i="21"/>
  <c r="K86" i="21"/>
  <c r="K87" i="21"/>
  <c r="K84" i="21"/>
  <c r="K89" i="21"/>
  <c r="K83" i="21"/>
  <c r="K90" i="21"/>
  <c r="L87" i="21"/>
  <c r="L84" i="21"/>
  <c r="L83" i="21"/>
  <c r="L90" i="21"/>
  <c r="L88" i="21"/>
  <c r="L85" i="21"/>
  <c r="L89" i="21"/>
  <c r="L86" i="21"/>
  <c r="F85" i="21"/>
  <c r="J88" i="21"/>
  <c r="G84" i="21"/>
  <c r="C90" i="21"/>
  <c r="C86" i="21"/>
  <c r="C88" i="21"/>
  <c r="C87" i="21"/>
  <c r="C83" i="21"/>
  <c r="C84" i="21"/>
  <c r="C89" i="21"/>
  <c r="C85" i="21"/>
  <c r="C37" i="21"/>
  <c r="H87" i="21"/>
  <c r="H84" i="21"/>
  <c r="H88" i="21"/>
  <c r="H85" i="21"/>
  <c r="H89" i="21"/>
  <c r="H83" i="21"/>
  <c r="H90" i="21"/>
  <c r="H86" i="21"/>
  <c r="J86" i="21"/>
  <c r="G86" i="21"/>
  <c r="F90" i="21"/>
  <c r="C24" i="21"/>
  <c r="D24" i="21" s="1"/>
  <c r="E24" i="21" s="1"/>
  <c r="F24" i="21" s="1"/>
  <c r="G24" i="21" s="1"/>
  <c r="H24" i="21" s="1"/>
  <c r="I24" i="21" s="1"/>
  <c r="J24" i="21" s="1"/>
  <c r="K24" i="21" s="1"/>
  <c r="L24" i="21" s="1"/>
  <c r="C49" i="21"/>
  <c r="D49" i="21" s="1"/>
  <c r="E49" i="21" s="1"/>
  <c r="F49" i="21" s="1"/>
  <c r="G49" i="21" s="1"/>
  <c r="H49" i="21" s="1"/>
  <c r="I49" i="21" s="1"/>
  <c r="J49" i="21" s="1"/>
  <c r="K49" i="21" s="1"/>
  <c r="L49" i="21" s="1"/>
  <c r="C34" i="21"/>
  <c r="D34" i="21" s="1"/>
  <c r="E34" i="21" s="1"/>
  <c r="F34" i="21" s="1"/>
  <c r="G34" i="21" s="1"/>
  <c r="H34" i="21" s="1"/>
  <c r="I34" i="21" s="1"/>
  <c r="J34" i="21" s="1"/>
  <c r="K34" i="21" s="1"/>
  <c r="L34" i="21" s="1"/>
  <c r="C48" i="21"/>
  <c r="D48" i="21" s="1"/>
  <c r="E48" i="21" s="1"/>
  <c r="F48" i="21" s="1"/>
  <c r="G48" i="21" s="1"/>
  <c r="H48" i="21" s="1"/>
  <c r="I48" i="21" s="1"/>
  <c r="J48" i="21" s="1"/>
  <c r="K48" i="21" s="1"/>
  <c r="L48" i="21" s="1"/>
  <c r="E61" i="21"/>
  <c r="F61" i="21" s="1"/>
  <c r="G61" i="21" s="1"/>
  <c r="H61" i="21" s="1"/>
  <c r="I61" i="21" s="1"/>
  <c r="J61" i="21" s="1"/>
  <c r="K61" i="21" s="1"/>
  <c r="L61" i="21" s="1"/>
  <c r="E60" i="21"/>
  <c r="F60" i="21" s="1"/>
  <c r="G60" i="21" s="1"/>
  <c r="H60" i="21" s="1"/>
  <c r="I60" i="21" s="1"/>
  <c r="J60" i="21" s="1"/>
  <c r="K60" i="21" s="1"/>
  <c r="L60" i="21" s="1"/>
  <c r="E58" i="21"/>
  <c r="F58" i="21" s="1"/>
  <c r="G58" i="21" s="1"/>
  <c r="H58" i="21" s="1"/>
  <c r="I58" i="21" s="1"/>
  <c r="J58" i="21" s="1"/>
  <c r="K58" i="21" s="1"/>
  <c r="L58" i="21" s="1"/>
  <c r="C25" i="21"/>
  <c r="D25" i="21" s="1"/>
  <c r="E25" i="21" s="1"/>
  <c r="F25" i="21" s="1"/>
  <c r="G25" i="21" s="1"/>
  <c r="H25" i="21" s="1"/>
  <c r="I25" i="21" s="1"/>
  <c r="J25" i="21" s="1"/>
  <c r="K25" i="21" s="1"/>
  <c r="L25" i="21" s="1"/>
  <c r="C22" i="21"/>
  <c r="D22" i="21" s="1"/>
  <c r="E22" i="21" s="1"/>
  <c r="F22" i="21" s="1"/>
  <c r="G22" i="21" s="1"/>
  <c r="H22" i="21" s="1"/>
  <c r="I22" i="21" s="1"/>
  <c r="J22" i="21" s="1"/>
  <c r="K22" i="21" s="1"/>
  <c r="L22" i="21" s="1"/>
  <c r="F93" i="1"/>
  <c r="F124" i="22" l="1"/>
  <c r="D124" i="22"/>
  <c r="C128" i="2"/>
  <c r="E124" i="22"/>
  <c r="C124" i="22"/>
  <c r="E128" i="2"/>
  <c r="F128" i="2"/>
  <c r="D128" i="2"/>
  <c r="D146" i="24"/>
  <c r="E146" i="24"/>
  <c r="F146" i="24"/>
  <c r="C146" i="24"/>
  <c r="D37" i="21"/>
  <c r="E144" i="23"/>
  <c r="D144" i="23"/>
  <c r="C144" i="23"/>
  <c r="F144" i="23"/>
  <c r="E185" i="27"/>
  <c r="D185" i="27"/>
  <c r="C185" i="27"/>
  <c r="F185" i="27"/>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2" i="1"/>
  <c r="F91" i="1"/>
  <c r="F90" i="1"/>
  <c r="F89" i="1"/>
  <c r="F88" i="1"/>
  <c r="F87" i="1"/>
  <c r="F86" i="1"/>
  <c r="E43" i="1"/>
  <c r="B43" i="1"/>
  <c r="E42" i="1"/>
  <c r="F43" i="1" s="1"/>
  <c r="I43" i="1" s="1"/>
  <c r="B42" i="1"/>
  <c r="E41" i="1"/>
  <c r="F42" i="1" s="1"/>
  <c r="I42" i="1" s="1"/>
  <c r="B41" i="1"/>
  <c r="E40" i="1"/>
  <c r="F41" i="1" s="1"/>
  <c r="I41" i="1" s="1"/>
  <c r="B40" i="1"/>
  <c r="E39" i="1"/>
  <c r="F40" i="1" s="1"/>
  <c r="I40" i="1" s="1"/>
  <c r="B39" i="1"/>
  <c r="E38" i="1"/>
  <c r="B38" i="1"/>
  <c r="E37" i="1"/>
  <c r="F37" i="1" s="1"/>
  <c r="I37" i="1" s="1"/>
  <c r="E36" i="1"/>
  <c r="F36" i="1" s="1"/>
  <c r="I36" i="1" s="1"/>
  <c r="E35" i="1"/>
  <c r="F35" i="1" s="1"/>
  <c r="I35" i="1" s="1"/>
  <c r="E34" i="1"/>
  <c r="F34" i="1" s="1"/>
  <c r="I34" i="1" s="1"/>
  <c r="E33" i="1"/>
  <c r="F33" i="1" s="1"/>
  <c r="I33" i="1" s="1"/>
  <c r="E32" i="1"/>
  <c r="F32" i="1" s="1"/>
  <c r="I32" i="1" s="1"/>
  <c r="E31" i="1"/>
  <c r="F31" i="1" s="1"/>
  <c r="I31" i="1" s="1"/>
  <c r="E30" i="1"/>
  <c r="F30" i="1" s="1"/>
  <c r="I30" i="1" s="1"/>
  <c r="E29" i="1"/>
  <c r="F29" i="1" s="1"/>
  <c r="I29" i="1" s="1"/>
  <c r="E28" i="1"/>
  <c r="F28" i="1" s="1"/>
  <c r="I28" i="1" s="1"/>
  <c r="E27" i="1"/>
  <c r="F27" i="1" s="1"/>
  <c r="I27" i="1" s="1"/>
  <c r="E26" i="1"/>
  <c r="F26" i="1" s="1"/>
  <c r="I26" i="1" s="1"/>
  <c r="E25" i="1"/>
  <c r="F25" i="1" s="1"/>
  <c r="I25" i="1" s="1"/>
  <c r="F123" i="2" l="1"/>
  <c r="E123" i="2"/>
  <c r="D123" i="2"/>
  <c r="C123" i="2"/>
  <c r="E147" i="24"/>
  <c r="F147" i="24"/>
  <c r="C147" i="24"/>
  <c r="D147" i="24"/>
  <c r="F133" i="2"/>
  <c r="E133" i="2"/>
  <c r="D133" i="2"/>
  <c r="C133" i="2"/>
  <c r="E158" i="24"/>
  <c r="F158" i="24"/>
  <c r="C158" i="24"/>
  <c r="D158" i="24"/>
  <c r="C131" i="22"/>
  <c r="E131" i="22"/>
  <c r="F131" i="22"/>
  <c r="D131" i="22"/>
  <c r="F153" i="24"/>
  <c r="E153" i="24"/>
  <c r="C153" i="24"/>
  <c r="D153" i="24"/>
  <c r="E125" i="22"/>
  <c r="C125" i="22"/>
  <c r="D125" i="22"/>
  <c r="F125" i="22"/>
  <c r="F157" i="24"/>
  <c r="E157" i="24"/>
  <c r="C157" i="24"/>
  <c r="D157" i="24"/>
  <c r="F128" i="22"/>
  <c r="D128" i="22"/>
  <c r="E128" i="22"/>
  <c r="C128" i="22"/>
  <c r="C150" i="24"/>
  <c r="F150" i="24"/>
  <c r="E150" i="24"/>
  <c r="D150" i="24"/>
  <c r="E61" i="25"/>
  <c r="F60" i="25"/>
  <c r="F62" i="25"/>
  <c r="E63" i="25"/>
  <c r="E64" i="25"/>
  <c r="F61" i="25"/>
  <c r="D60" i="25"/>
  <c r="C62" i="25"/>
  <c r="D63" i="25"/>
  <c r="C64" i="25"/>
  <c r="D61" i="25"/>
  <c r="E60" i="25"/>
  <c r="E62" i="25"/>
  <c r="C63" i="25"/>
  <c r="F64" i="25"/>
  <c r="C61" i="25"/>
  <c r="C60" i="25"/>
  <c r="D62" i="25"/>
  <c r="F63" i="25"/>
  <c r="D64" i="25"/>
  <c r="C38" i="22"/>
  <c r="E38" i="22"/>
  <c r="F38" i="22"/>
  <c r="D38" i="22"/>
  <c r="E100" i="29"/>
  <c r="F44" i="23"/>
  <c r="D42" i="23"/>
  <c r="F44" i="22"/>
  <c r="D42" i="22"/>
  <c r="F43" i="2"/>
  <c r="E48" i="2"/>
  <c r="D44" i="2"/>
  <c r="E44" i="23"/>
  <c r="C43" i="23"/>
  <c r="E48" i="22"/>
  <c r="C47" i="22"/>
  <c r="E45" i="2"/>
  <c r="F46" i="23"/>
  <c r="D48" i="23"/>
  <c r="F46" i="22"/>
  <c r="C44" i="22"/>
  <c r="E42" i="2"/>
  <c r="C48" i="2"/>
  <c r="F47" i="23"/>
  <c r="D45" i="23"/>
  <c r="F47" i="22"/>
  <c r="C45" i="22"/>
  <c r="E47" i="2"/>
  <c r="D47" i="2"/>
  <c r="F44" i="24"/>
  <c r="C47" i="24"/>
  <c r="F48" i="24"/>
  <c r="D43" i="24"/>
  <c r="F47" i="24"/>
  <c r="E47" i="24"/>
  <c r="F45" i="24"/>
  <c r="D41" i="24"/>
  <c r="D103" i="29"/>
  <c r="E108" i="29"/>
  <c r="D104" i="29"/>
  <c r="F107" i="29"/>
  <c r="E102" i="29"/>
  <c r="F104" i="29"/>
  <c r="D106" i="29"/>
  <c r="E65" i="25"/>
  <c r="F65" i="25"/>
  <c r="C65" i="25"/>
  <c r="C68" i="25"/>
  <c r="C98" i="29"/>
  <c r="F101" i="29"/>
  <c r="D100" i="29"/>
  <c r="F48" i="23"/>
  <c r="D46" i="23"/>
  <c r="F48" i="22"/>
  <c r="D46" i="22"/>
  <c r="F47" i="2"/>
  <c r="C42" i="2"/>
  <c r="D48" i="2"/>
  <c r="E48" i="23"/>
  <c r="C47" i="23"/>
  <c r="D43" i="22"/>
  <c r="F40" i="2"/>
  <c r="C43" i="2"/>
  <c r="E41" i="23"/>
  <c r="C44" i="23"/>
  <c r="E45" i="22"/>
  <c r="C48" i="22"/>
  <c r="E46" i="2"/>
  <c r="D42" i="2"/>
  <c r="E42" i="23"/>
  <c r="C41" i="23"/>
  <c r="E42" i="22"/>
  <c r="F42" i="2"/>
  <c r="C41" i="2"/>
  <c r="E41" i="2"/>
  <c r="E44" i="24"/>
  <c r="C44" i="24"/>
  <c r="E48" i="24"/>
  <c r="D44" i="24"/>
  <c r="F41" i="24"/>
  <c r="D47" i="24"/>
  <c r="F46" i="24"/>
  <c r="D42" i="24"/>
  <c r="D107" i="29"/>
  <c r="C102" i="29"/>
  <c r="E105" i="29"/>
  <c r="C104" i="29"/>
  <c r="E106" i="29"/>
  <c r="C105" i="29"/>
  <c r="C100" i="29"/>
  <c r="E43" i="23"/>
  <c r="C42" i="23"/>
  <c r="E43" i="22"/>
  <c r="C42" i="22"/>
  <c r="E40" i="2"/>
  <c r="C46" i="2"/>
  <c r="F41" i="23"/>
  <c r="D43" i="23"/>
  <c r="F45" i="22"/>
  <c r="D47" i="22"/>
  <c r="F44" i="2"/>
  <c r="D45" i="2"/>
  <c r="E45" i="23"/>
  <c r="C48" i="23"/>
  <c r="D44" i="22"/>
  <c r="F41" i="2"/>
  <c r="C40" i="2"/>
  <c r="D46" i="2"/>
  <c r="E46" i="23"/>
  <c r="C45" i="23"/>
  <c r="E46" i="22"/>
  <c r="F46" i="2"/>
  <c r="C45" i="2"/>
  <c r="C47" i="2"/>
  <c r="D45" i="24"/>
  <c r="C45" i="24"/>
  <c r="E42" i="24"/>
  <c r="C42" i="24"/>
  <c r="F42" i="24"/>
  <c r="D48" i="24"/>
  <c r="E45" i="24"/>
  <c r="C43" i="24"/>
  <c r="E104" i="29"/>
  <c r="C106" i="29"/>
  <c r="F102" i="29"/>
  <c r="D105" i="29"/>
  <c r="E103" i="29"/>
  <c r="F108" i="29"/>
  <c r="D108" i="29"/>
  <c r="C66" i="25"/>
  <c r="D68" i="25"/>
  <c r="F66" i="25"/>
  <c r="D65" i="25"/>
  <c r="D98" i="29"/>
  <c r="D101" i="29"/>
  <c r="F100" i="29"/>
  <c r="E47" i="23"/>
  <c r="C46" i="23"/>
  <c r="E47" i="22"/>
  <c r="C46" i="22"/>
  <c r="E44" i="2"/>
  <c r="D40" i="2"/>
  <c r="F45" i="23"/>
  <c r="D47" i="23"/>
  <c r="E44" i="22"/>
  <c r="C43" i="22"/>
  <c r="F48" i="2"/>
  <c r="F42" i="23"/>
  <c r="D44" i="23"/>
  <c r="F42" i="22"/>
  <c r="D48" i="22"/>
  <c r="F45" i="2"/>
  <c r="C44" i="2"/>
  <c r="F43" i="23"/>
  <c r="D41" i="23"/>
  <c r="F43" i="22"/>
  <c r="D45" i="22"/>
  <c r="E43" i="2"/>
  <c r="D43" i="2"/>
  <c r="D41" i="2"/>
  <c r="D46" i="24"/>
  <c r="F43" i="24"/>
  <c r="E43" i="24"/>
  <c r="C48" i="24"/>
  <c r="E46" i="24"/>
  <c r="C46" i="24"/>
  <c r="E41" i="24"/>
  <c r="C41" i="24"/>
  <c r="F105" i="29"/>
  <c r="C103" i="29"/>
  <c r="F103" i="29"/>
  <c r="C108" i="29"/>
  <c r="E107" i="29"/>
  <c r="D102" i="29"/>
  <c r="F67" i="25"/>
  <c r="D67" i="25"/>
  <c r="F98" i="29"/>
  <c r="C107" i="29"/>
  <c r="D66" i="25"/>
  <c r="F106" i="29"/>
  <c r="E66" i="25"/>
  <c r="C67" i="25"/>
  <c r="C101" i="29"/>
  <c r="F68" i="25"/>
  <c r="E68" i="25"/>
  <c r="E98" i="29"/>
  <c r="E67" i="25"/>
  <c r="E101" i="29"/>
  <c r="C122" i="22"/>
  <c r="E122" i="22"/>
  <c r="F129" i="2"/>
  <c r="E129" i="2"/>
  <c r="D129" i="2"/>
  <c r="D122" i="22"/>
  <c r="F122" i="22"/>
  <c r="C129" i="2"/>
  <c r="C144" i="24"/>
  <c r="D144" i="24"/>
  <c r="E144" i="24"/>
  <c r="F144" i="24"/>
  <c r="F125" i="2"/>
  <c r="E125" i="2"/>
  <c r="D125" i="2"/>
  <c r="C125" i="2"/>
  <c r="D126" i="22"/>
  <c r="F126" i="22"/>
  <c r="F130" i="2"/>
  <c r="D130" i="2"/>
  <c r="C126" i="22"/>
  <c r="E130" i="2"/>
  <c r="C130" i="2"/>
  <c r="E126" i="22"/>
  <c r="C148" i="24"/>
  <c r="F148" i="24"/>
  <c r="E148" i="24"/>
  <c r="D148" i="24"/>
  <c r="D130" i="22"/>
  <c r="F130" i="22"/>
  <c r="C130" i="22"/>
  <c r="E130" i="22"/>
  <c r="C156" i="24"/>
  <c r="D156" i="24"/>
  <c r="E156" i="24"/>
  <c r="F156" i="24"/>
  <c r="F152" i="24"/>
  <c r="C152" i="24"/>
  <c r="E152" i="24"/>
  <c r="D152" i="24"/>
  <c r="C124" i="2"/>
  <c r="F124" i="2"/>
  <c r="D124" i="2"/>
  <c r="E124" i="2"/>
  <c r="E126" i="2"/>
  <c r="C126" i="2"/>
  <c r="F126" i="2"/>
  <c r="D126" i="2"/>
  <c r="F131" i="2"/>
  <c r="E131" i="2"/>
  <c r="D131" i="2"/>
  <c r="C131" i="2"/>
  <c r="F135" i="2"/>
  <c r="E135" i="2"/>
  <c r="D135" i="2"/>
  <c r="C135" i="2"/>
  <c r="F155" i="24"/>
  <c r="C155" i="24"/>
  <c r="D155" i="24"/>
  <c r="E155" i="24"/>
  <c r="C127" i="22"/>
  <c r="E127" i="22"/>
  <c r="F127" i="22"/>
  <c r="D127" i="22"/>
  <c r="C149" i="24"/>
  <c r="D149" i="24"/>
  <c r="F149" i="24"/>
  <c r="E149" i="24"/>
  <c r="E134" i="2"/>
  <c r="C134" i="2"/>
  <c r="F134" i="2"/>
  <c r="D134" i="2"/>
  <c r="C123" i="22"/>
  <c r="E123" i="22"/>
  <c r="F127" i="2"/>
  <c r="E127" i="2"/>
  <c r="D127" i="2"/>
  <c r="F123" i="22"/>
  <c r="C127" i="2"/>
  <c r="D123" i="22"/>
  <c r="C145" i="24"/>
  <c r="D145" i="24"/>
  <c r="F145" i="24"/>
  <c r="E145" i="24"/>
  <c r="C132" i="2"/>
  <c r="F132" i="2"/>
  <c r="D132" i="2"/>
  <c r="E132" i="2"/>
  <c r="E129" i="22"/>
  <c r="C129" i="22"/>
  <c r="C136" i="2"/>
  <c r="E136" i="2"/>
  <c r="D129" i="22"/>
  <c r="D136" i="2"/>
  <c r="F129" i="22"/>
  <c r="F136" i="2"/>
  <c r="F151" i="24"/>
  <c r="C151" i="24"/>
  <c r="D151" i="24"/>
  <c r="E151" i="24"/>
  <c r="F36" i="23"/>
  <c r="F36" i="22"/>
  <c r="E36" i="23"/>
  <c r="E36" i="22"/>
  <c r="D36" i="23"/>
  <c r="C36" i="23"/>
  <c r="D36" i="22"/>
  <c r="C36" i="22"/>
  <c r="E36" i="24"/>
  <c r="C36" i="24"/>
  <c r="F36" i="24"/>
  <c r="D36" i="24"/>
  <c r="F96" i="29"/>
  <c r="D96" i="29"/>
  <c r="C96" i="29"/>
  <c r="E96" i="29"/>
  <c r="E39" i="23"/>
  <c r="E39" i="22"/>
  <c r="D39" i="23"/>
  <c r="C39" i="23"/>
  <c r="D39" i="22"/>
  <c r="C39" i="22"/>
  <c r="F39" i="23"/>
  <c r="F39" i="22"/>
  <c r="F39" i="24"/>
  <c r="E39" i="24"/>
  <c r="D39" i="24"/>
  <c r="C39" i="24"/>
  <c r="E55" i="25"/>
  <c r="F55" i="25"/>
  <c r="C55" i="25"/>
  <c r="D55" i="25"/>
  <c r="F40" i="24"/>
  <c r="D40" i="24"/>
  <c r="E40" i="24"/>
  <c r="C40" i="24"/>
  <c r="D58" i="25"/>
  <c r="C58" i="25"/>
  <c r="E58" i="25"/>
  <c r="F58" i="25"/>
  <c r="E34" i="23"/>
  <c r="E34" i="22"/>
  <c r="D34" i="23"/>
  <c r="D34" i="22"/>
  <c r="F34" i="2"/>
  <c r="F34" i="23"/>
  <c r="C34" i="23"/>
  <c r="F34" i="22"/>
  <c r="C34" i="22"/>
  <c r="C34" i="2"/>
  <c r="E34" i="2"/>
  <c r="D34" i="2"/>
  <c r="F34" i="24"/>
  <c r="E34" i="24"/>
  <c r="D34" i="24"/>
  <c r="C34" i="24"/>
  <c r="E94" i="29"/>
  <c r="C94" i="29"/>
  <c r="F94" i="29"/>
  <c r="D94" i="29"/>
  <c r="C59" i="25"/>
  <c r="F59" i="25"/>
  <c r="D59" i="25"/>
  <c r="E59" i="25"/>
  <c r="D37" i="22"/>
  <c r="C37" i="22"/>
  <c r="C37" i="2"/>
  <c r="E37" i="2"/>
  <c r="D37" i="2"/>
  <c r="F37" i="22"/>
  <c r="F37" i="2"/>
  <c r="E37" i="22"/>
  <c r="F57" i="25"/>
  <c r="E57" i="25"/>
  <c r="C57" i="25"/>
  <c r="D57" i="25"/>
  <c r="E37" i="23"/>
  <c r="D37" i="23"/>
  <c r="C37" i="23"/>
  <c r="F37" i="23"/>
  <c r="F37" i="24"/>
  <c r="E37" i="24"/>
  <c r="D37" i="24"/>
  <c r="C37" i="24"/>
  <c r="F40" i="23"/>
  <c r="E40" i="23"/>
  <c r="F41" i="22"/>
  <c r="D40" i="23"/>
  <c r="C40" i="23"/>
  <c r="E41" i="22"/>
  <c r="D41" i="22"/>
  <c r="C41" i="22"/>
  <c r="F39" i="2"/>
  <c r="C39" i="2"/>
  <c r="E39" i="2"/>
  <c r="D39" i="2"/>
  <c r="F40" i="22"/>
  <c r="E36" i="2"/>
  <c r="D36" i="2"/>
  <c r="E40" i="22"/>
  <c r="F36" i="2"/>
  <c r="D40" i="22"/>
  <c r="C40" i="22"/>
  <c r="C36" i="2"/>
  <c r="C97" i="29"/>
  <c r="F97" i="29"/>
  <c r="E97" i="29"/>
  <c r="D97" i="29"/>
  <c r="F35" i="23"/>
  <c r="F35" i="22"/>
  <c r="E35" i="23"/>
  <c r="E35" i="22"/>
  <c r="D35" i="23"/>
  <c r="C35" i="23"/>
  <c r="D35" i="22"/>
  <c r="C35" i="22"/>
  <c r="E38" i="2"/>
  <c r="D38" i="2"/>
  <c r="F38" i="2"/>
  <c r="C38" i="2"/>
  <c r="C35" i="24"/>
  <c r="F35" i="24"/>
  <c r="E35" i="24"/>
  <c r="D35" i="24"/>
  <c r="F95" i="29"/>
  <c r="E95" i="29"/>
  <c r="D95" i="29"/>
  <c r="C95" i="29"/>
  <c r="F35" i="2"/>
  <c r="C35" i="2"/>
  <c r="E35" i="2"/>
  <c r="D35" i="2"/>
  <c r="D38" i="23"/>
  <c r="C38" i="23"/>
  <c r="F38" i="23"/>
  <c r="E38" i="23"/>
  <c r="E38" i="24"/>
  <c r="C38" i="24"/>
  <c r="F38" i="24"/>
  <c r="D38" i="24"/>
  <c r="F56" i="25"/>
  <c r="C56" i="25"/>
  <c r="E56" i="25"/>
  <c r="D56" i="25"/>
  <c r="E37" i="21"/>
  <c r="D184" i="27"/>
  <c r="E184" i="27"/>
  <c r="F184" i="27"/>
  <c r="C184" i="27"/>
  <c r="E150" i="23"/>
  <c r="F150" i="23"/>
  <c r="C150" i="23"/>
  <c r="D150" i="23"/>
  <c r="D147" i="23"/>
  <c r="C147" i="23"/>
  <c r="E147" i="23"/>
  <c r="F147" i="23"/>
  <c r="D183" i="27"/>
  <c r="C183" i="27"/>
  <c r="E183" i="27"/>
  <c r="F183" i="27"/>
  <c r="D143" i="23"/>
  <c r="C143" i="23"/>
  <c r="E143" i="23"/>
  <c r="F143" i="23"/>
  <c r="C186" i="27"/>
  <c r="E186" i="27"/>
  <c r="F186" i="27"/>
  <c r="D186" i="27"/>
  <c r="F149" i="23"/>
  <c r="D149" i="23"/>
  <c r="C149" i="23"/>
  <c r="E149" i="23"/>
  <c r="E182" i="27"/>
  <c r="F182" i="27"/>
  <c r="C182" i="27"/>
  <c r="D182" i="27"/>
  <c r="D148" i="23"/>
  <c r="C148" i="23"/>
  <c r="E148" i="23"/>
  <c r="F148" i="23"/>
  <c r="E142" i="23"/>
  <c r="F142" i="23"/>
  <c r="C142" i="23"/>
  <c r="D142" i="23"/>
  <c r="E146" i="23"/>
  <c r="F146" i="23"/>
  <c r="C146" i="23"/>
  <c r="D146" i="23"/>
  <c r="D151" i="23"/>
  <c r="C151" i="23"/>
  <c r="E151" i="23"/>
  <c r="F151" i="23"/>
  <c r="E30" i="27"/>
  <c r="C32" i="27"/>
  <c r="E35" i="27"/>
  <c r="E32" i="27"/>
  <c r="E33" i="27"/>
  <c r="C35" i="27"/>
  <c r="D32" i="27"/>
  <c r="E36" i="27"/>
  <c r="F29" i="27"/>
  <c r="C29" i="27"/>
  <c r="E34" i="27"/>
  <c r="C36" i="27"/>
  <c r="D36" i="27"/>
  <c r="D33" i="27"/>
  <c r="D30" i="27"/>
  <c r="C33" i="27"/>
  <c r="C30" i="27"/>
  <c r="D31" i="27"/>
  <c r="C34" i="27"/>
  <c r="F32" i="27"/>
  <c r="D34" i="27"/>
  <c r="F30" i="27"/>
  <c r="F33" i="27"/>
  <c r="D35" i="27"/>
  <c r="F34" i="27"/>
  <c r="F31" i="27"/>
  <c r="F36" i="27"/>
  <c r="C31" i="27"/>
  <c r="E31" i="27"/>
  <c r="F35" i="27"/>
  <c r="E29" i="27"/>
  <c r="D29" i="27"/>
  <c r="D10" i="27"/>
  <c r="F39" i="1"/>
  <c r="I39" i="1" s="1"/>
  <c r="F38" i="1"/>
  <c r="I38" i="1" s="1"/>
  <c r="E8" i="23" l="1"/>
  <c r="E10" i="23"/>
  <c r="E8" i="24"/>
  <c r="E11" i="22"/>
  <c r="E8" i="2"/>
  <c r="E9" i="23"/>
  <c r="E11" i="23"/>
  <c r="E11" i="24"/>
  <c r="E9" i="22"/>
  <c r="E10" i="22"/>
  <c r="E9" i="2"/>
  <c r="E10" i="24"/>
  <c r="E8" i="22"/>
  <c r="E10" i="2"/>
  <c r="E9" i="24"/>
  <c r="E11" i="2"/>
  <c r="C9" i="25"/>
  <c r="C8" i="25"/>
  <c r="C11" i="25"/>
  <c r="C10" i="25"/>
  <c r="D99" i="29"/>
  <c r="F9" i="29" s="1"/>
  <c r="F99" i="29"/>
  <c r="F11" i="29" s="1"/>
  <c r="E99" i="29"/>
  <c r="F10" i="29" s="1"/>
  <c r="C99" i="29"/>
  <c r="F8" i="29" s="1"/>
  <c r="F37" i="21"/>
  <c r="C10" i="27"/>
  <c r="K10" i="27" s="1"/>
  <c r="C10" i="2"/>
  <c r="G10" i="2" s="1"/>
  <c r="C11" i="22"/>
  <c r="G11" i="22" s="1"/>
  <c r="C8" i="22"/>
  <c r="C9" i="23"/>
  <c r="C11" i="23"/>
  <c r="C11" i="24"/>
  <c r="C9" i="2"/>
  <c r="G9" i="2" s="1"/>
  <c r="C9" i="22"/>
  <c r="C10" i="23"/>
  <c r="C9" i="24"/>
  <c r="C11" i="2"/>
  <c r="C10" i="22"/>
  <c r="C8" i="24"/>
  <c r="C10" i="24"/>
  <c r="C12" i="27"/>
  <c r="K12" i="27" s="1"/>
  <c r="C8" i="2"/>
  <c r="C8" i="23"/>
  <c r="C9" i="27"/>
  <c r="K9" i="27" s="1"/>
  <c r="C11" i="27"/>
  <c r="K11" i="27" s="1"/>
  <c r="J11" i="27"/>
  <c r="D9" i="27"/>
  <c r="J9" i="27"/>
  <c r="J12" i="27"/>
  <c r="J10" i="27"/>
  <c r="D11" i="27"/>
  <c r="B23" i="21" l="1"/>
  <c r="G10" i="22"/>
  <c r="G11" i="2"/>
  <c r="B47" i="21"/>
  <c r="C47" i="21" s="1"/>
  <c r="D47" i="21" s="1"/>
  <c r="E47" i="21" s="1"/>
  <c r="F47" i="21" s="1"/>
  <c r="G47" i="21" s="1"/>
  <c r="H47" i="21" s="1"/>
  <c r="I47" i="21" s="1"/>
  <c r="J47" i="21" s="1"/>
  <c r="K47" i="21" s="1"/>
  <c r="L47" i="21" s="1"/>
  <c r="G8" i="2"/>
  <c r="G8" i="22"/>
  <c r="G9" i="22"/>
  <c r="H9" i="29"/>
  <c r="B38" i="21"/>
  <c r="C38" i="21" s="1"/>
  <c r="B45" i="21"/>
  <c r="C45" i="21" s="1"/>
  <c r="F10" i="25"/>
  <c r="B57" i="21"/>
  <c r="F11" i="25"/>
  <c r="L12" i="27"/>
  <c r="B59" i="21"/>
  <c r="C59" i="21" s="1"/>
  <c r="D59" i="21" s="1"/>
  <c r="E59" i="21" s="1"/>
  <c r="F59" i="21" s="1"/>
  <c r="G59" i="21" s="1"/>
  <c r="H59" i="21" s="1"/>
  <c r="I59" i="21" s="1"/>
  <c r="J59" i="21" s="1"/>
  <c r="K59" i="21" s="1"/>
  <c r="L59" i="21" s="1"/>
  <c r="H10" i="29"/>
  <c r="B50" i="21"/>
  <c r="C50" i="21" s="1"/>
  <c r="D50" i="21" s="1"/>
  <c r="E50" i="21" s="1"/>
  <c r="F50" i="21" s="1"/>
  <c r="G50" i="21" s="1"/>
  <c r="H50" i="21" s="1"/>
  <c r="I50" i="21" s="1"/>
  <c r="J50" i="21" s="1"/>
  <c r="K50" i="21" s="1"/>
  <c r="L50" i="21" s="1"/>
  <c r="B21" i="21"/>
  <c r="F8" i="25"/>
  <c r="B33" i="21"/>
  <c r="F9" i="25"/>
  <c r="B26" i="21"/>
  <c r="C26" i="21" s="1"/>
  <c r="H8" i="29"/>
  <c r="H11" i="29"/>
  <c r="B62" i="21"/>
  <c r="C62" i="21" s="1"/>
  <c r="L10" i="27"/>
  <c r="B35" i="21"/>
  <c r="C35" i="21" s="1"/>
  <c r="D35" i="21" s="1"/>
  <c r="E35" i="21" s="1"/>
  <c r="F35" i="21" s="1"/>
  <c r="G35" i="21" s="1"/>
  <c r="H35" i="21" s="1"/>
  <c r="I35" i="21" s="1"/>
  <c r="J35" i="21" s="1"/>
  <c r="K35" i="21" s="1"/>
  <c r="L35" i="21" s="1"/>
  <c r="G37" i="21"/>
  <c r="H11" i="24"/>
  <c r="H10" i="24"/>
  <c r="H10" i="23"/>
  <c r="H9" i="23"/>
  <c r="H11" i="23"/>
  <c r="H8" i="23"/>
  <c r="H8" i="24"/>
  <c r="H9" i="24"/>
  <c r="L11" i="27"/>
  <c r="C23" i="21"/>
  <c r="D23" i="21" s="1"/>
  <c r="E23" i="21" s="1"/>
  <c r="F23" i="21" s="1"/>
  <c r="G23" i="21" s="1"/>
  <c r="H23" i="21" s="1"/>
  <c r="I23" i="21" s="1"/>
  <c r="J23" i="21" s="1"/>
  <c r="K23" i="21" s="1"/>
  <c r="L23" i="21" s="1"/>
  <c r="L9" i="27"/>
  <c r="B64" i="21" l="1"/>
  <c r="B15" i="21" s="1"/>
  <c r="B40" i="21"/>
  <c r="B13" i="21" s="1"/>
  <c r="B52" i="21"/>
  <c r="B14" i="21" s="1"/>
  <c r="B28" i="21"/>
  <c r="B12" i="21" s="1"/>
  <c r="C57" i="21"/>
  <c r="C64" i="21" s="1"/>
  <c r="D45" i="21"/>
  <c r="C52" i="21"/>
  <c r="D38" i="21"/>
  <c r="H37" i="21"/>
  <c r="D26" i="21"/>
  <c r="C33" i="21"/>
  <c r="C40" i="21" s="1"/>
  <c r="C21" i="21"/>
  <c r="D57" i="21" l="1"/>
  <c r="E57" i="21" s="1"/>
  <c r="E45" i="21"/>
  <c r="D52" i="21"/>
  <c r="I37" i="21"/>
  <c r="E38" i="21"/>
  <c r="C28" i="21"/>
  <c r="C12" i="21" s="1"/>
  <c r="E26" i="21"/>
  <c r="D33" i="21"/>
  <c r="D40" i="21" s="1"/>
  <c r="C13" i="21"/>
  <c r="D62" i="21"/>
  <c r="C15" i="21"/>
  <c r="D21" i="21"/>
  <c r="D28" i="21" s="1"/>
  <c r="D64" i="21" l="1"/>
  <c r="D15" i="21" s="1"/>
  <c r="F57" i="21"/>
  <c r="F45" i="21"/>
  <c r="E52" i="21"/>
  <c r="F38" i="21"/>
  <c r="J37" i="21"/>
  <c r="D12" i="21"/>
  <c r="F26" i="21"/>
  <c r="E33" i="21"/>
  <c r="E40" i="21" s="1"/>
  <c r="D13" i="21"/>
  <c r="E62" i="21"/>
  <c r="E64" i="21" s="1"/>
  <c r="D14" i="21"/>
  <c r="C14" i="21"/>
  <c r="E21" i="21"/>
  <c r="G57" i="21" l="1"/>
  <c r="G45" i="21"/>
  <c r="F52" i="21"/>
  <c r="G38" i="21"/>
  <c r="K37" i="21"/>
  <c r="E28" i="21"/>
  <c r="E12" i="21" s="1"/>
  <c r="G26" i="21"/>
  <c r="F33" i="21"/>
  <c r="F40" i="21" s="1"/>
  <c r="E13" i="21"/>
  <c r="F62" i="21"/>
  <c r="F64" i="21" s="1"/>
  <c r="E15" i="21"/>
  <c r="E14" i="21"/>
  <c r="F21" i="21"/>
  <c r="H57" i="21" l="1"/>
  <c r="H45" i="21"/>
  <c r="G52" i="21"/>
  <c r="L37" i="21"/>
  <c r="H38" i="21"/>
  <c r="F28" i="21"/>
  <c r="F12" i="21" s="1"/>
  <c r="H26" i="21"/>
  <c r="F13" i="21"/>
  <c r="G33" i="21"/>
  <c r="G40" i="21" s="1"/>
  <c r="G62" i="21"/>
  <c r="G64" i="21" s="1"/>
  <c r="F15" i="21"/>
  <c r="F14" i="21"/>
  <c r="G21" i="21"/>
  <c r="I57" i="21" l="1"/>
  <c r="I45" i="21"/>
  <c r="H52" i="21"/>
  <c r="I38" i="21"/>
  <c r="G28" i="21"/>
  <c r="G12" i="21" s="1"/>
  <c r="I26" i="21"/>
  <c r="H33" i="21"/>
  <c r="H40" i="21" s="1"/>
  <c r="G13" i="21"/>
  <c r="H62" i="21"/>
  <c r="H64" i="21" s="1"/>
  <c r="G15" i="21"/>
  <c r="G14" i="21"/>
  <c r="H21" i="21"/>
  <c r="H28" i="21" s="1"/>
  <c r="J57" i="21" l="1"/>
  <c r="J45" i="21"/>
  <c r="I52" i="21"/>
  <c r="J38" i="21"/>
  <c r="H12" i="21"/>
  <c r="J26" i="21"/>
  <c r="I33" i="21"/>
  <c r="I40" i="21" s="1"/>
  <c r="H13" i="21"/>
  <c r="I62" i="21"/>
  <c r="I64" i="21" s="1"/>
  <c r="H15" i="21"/>
  <c r="H14" i="21"/>
  <c r="I21" i="21"/>
  <c r="I28" i="21" s="1"/>
  <c r="K57" i="21" l="1"/>
  <c r="K45" i="21"/>
  <c r="J52" i="21"/>
  <c r="K38" i="21"/>
  <c r="K26" i="21"/>
  <c r="I12" i="21"/>
  <c r="I13" i="21"/>
  <c r="J33" i="21"/>
  <c r="J40" i="21" s="1"/>
  <c r="J62" i="21"/>
  <c r="J64" i="21" s="1"/>
  <c r="I15" i="21"/>
  <c r="I14" i="21"/>
  <c r="J21" i="21"/>
  <c r="J28" i="21" s="1"/>
  <c r="L57" i="21" l="1"/>
  <c r="L45" i="21"/>
  <c r="L52" i="21" s="1"/>
  <c r="K52" i="21"/>
  <c r="L38" i="21"/>
  <c r="J12" i="21"/>
  <c r="L26" i="21"/>
  <c r="J13" i="21"/>
  <c r="K33" i="21"/>
  <c r="K40" i="21" s="1"/>
  <c r="K62" i="21"/>
  <c r="K64" i="21" s="1"/>
  <c r="J15" i="21"/>
  <c r="J14" i="21"/>
  <c r="K21" i="21"/>
  <c r="K28" i="21" s="1"/>
  <c r="K12" i="21" l="1"/>
  <c r="L33" i="21"/>
  <c r="L40" i="21" s="1"/>
  <c r="K13" i="21"/>
  <c r="L62" i="21"/>
  <c r="K15" i="21"/>
  <c r="K14" i="21"/>
  <c r="L21" i="21"/>
  <c r="L28" i="21" s="1"/>
  <c r="L64" i="21" l="1"/>
  <c r="L15" i="21" s="1"/>
  <c r="L13" i="21"/>
  <c r="L12" i="21"/>
  <c r="L14" i="21"/>
</calcChain>
</file>

<file path=xl/sharedStrings.xml><?xml version="1.0" encoding="utf-8"?>
<sst xmlns="http://schemas.openxmlformats.org/spreadsheetml/2006/main" count="1314" uniqueCount="537">
  <si>
    <t>Menu</t>
  </si>
  <si>
    <t>Must fill in</t>
  </si>
  <si>
    <t>Can be changed but contains a default formula</t>
  </si>
  <si>
    <t>Don't change - contains necessary calculation</t>
  </si>
  <si>
    <t>HEALTH CENTRE</t>
  </si>
  <si>
    <t>HC - Auxiliary/Attendant</t>
  </si>
  <si>
    <t>HC - Nurse/Midwife</t>
  </si>
  <si>
    <t>HC - General Physician</t>
  </si>
  <si>
    <t>HC - Obstetrician</t>
  </si>
  <si>
    <t>HC - Paediatrician</t>
  </si>
  <si>
    <t>HC - Anaesthesist</t>
  </si>
  <si>
    <t>HC - Lab Technician</t>
  </si>
  <si>
    <t>CLINICAL STAFF SALARY</t>
  </si>
  <si>
    <t>Nurse</t>
  </si>
  <si>
    <t>Counselor</t>
  </si>
  <si>
    <t>Doctor</t>
  </si>
  <si>
    <t>Clinical Officer</t>
  </si>
  <si>
    <t>Nurse assistant</t>
  </si>
  <si>
    <t>Driver</t>
  </si>
  <si>
    <t>Phlebotomist</t>
  </si>
  <si>
    <t>Lab technologist</t>
  </si>
  <si>
    <t>Data Clerk</t>
  </si>
  <si>
    <t>Admin Officer</t>
  </si>
  <si>
    <t>Assistant Research Officer</t>
  </si>
  <si>
    <t>Program Managers</t>
  </si>
  <si>
    <t>Lab Manager</t>
  </si>
  <si>
    <t>*Benefits will be calculated as 10% of salary if no entry is made in column D for benefits.</t>
  </si>
  <si>
    <t>CONSUMABLES UNIT COSTS</t>
  </si>
  <si>
    <t>Gloves (powder free) x 100 gloves</t>
  </si>
  <si>
    <t>Sharps container (2L plastic)</t>
  </si>
  <si>
    <t>Sharps container (5L carton)</t>
  </si>
  <si>
    <t>Labels</t>
  </si>
  <si>
    <t>Sample preparation kit (mSample Preparation System DNA) (1 kit = 96 tests)</t>
  </si>
  <si>
    <t>Amplification kIt (Abbott RealTime HIV-1 Qualitative Amplification Reagent Kit) (1 kit = 96 tests)</t>
  </si>
  <si>
    <t>Control kit (Abbott RealTime HIV-1 Qualitative Control Kit) (1 kit covers 1128 tests and has 12 positive and 12 negative controls)</t>
  </si>
  <si>
    <t>Ethanol (2.5 L)</t>
  </si>
  <si>
    <t>Bulk Lysis Buffer (1 kit = 96 tests)</t>
  </si>
  <si>
    <t>25ml sterile repeat pipet tips</t>
  </si>
  <si>
    <t>5ml sterile repeat pipet tips</t>
  </si>
  <si>
    <t>Distilled water 20L</t>
  </si>
  <si>
    <t>200ul Eppendorf pipette</t>
  </si>
  <si>
    <t>1000ul Eppendorf pippette</t>
  </si>
  <si>
    <t>Samples rack</t>
  </si>
  <si>
    <t>Freezer, blood product</t>
  </si>
  <si>
    <t>Centrifuge</t>
  </si>
  <si>
    <t>Sterilizer</t>
  </si>
  <si>
    <t>Autoclave</t>
  </si>
  <si>
    <t>Analyser, haematology, cell-differential</t>
  </si>
  <si>
    <t>Analyser, blood culture, automated</t>
  </si>
  <si>
    <t>Microscope</t>
  </si>
  <si>
    <t>Refrigerator</t>
  </si>
  <si>
    <t>Incinerator</t>
  </si>
  <si>
    <t>Generator</t>
  </si>
  <si>
    <t>Bio-safety cabinet</t>
  </si>
  <si>
    <t>equipment on placement</t>
  </si>
  <si>
    <t>Roche C8800 Analyzer</t>
  </si>
  <si>
    <t>Laptop</t>
  </si>
  <si>
    <t>CPU</t>
  </si>
  <si>
    <t>Monitor</t>
  </si>
  <si>
    <t>Cooler boxes</t>
  </si>
  <si>
    <t>File holders</t>
  </si>
  <si>
    <t>Flamables cabinet</t>
  </si>
  <si>
    <t>Landline Telephones</t>
  </si>
  <si>
    <t>Mobile phones</t>
  </si>
  <si>
    <t>Heating block</t>
  </si>
  <si>
    <t>Blood Shakers</t>
  </si>
  <si>
    <t>Emergency battery</t>
  </si>
  <si>
    <t>printer</t>
  </si>
  <si>
    <t>stapler</t>
  </si>
  <si>
    <t>Motorcycle</t>
  </si>
  <si>
    <t>HR</t>
  </si>
  <si>
    <t>Consumables</t>
  </si>
  <si>
    <t>STAFF UNIT COST CALCULATION</t>
  </si>
  <si>
    <t>EQUIPMENT AND MACHINE UNIT COST CALCULATION</t>
  </si>
  <si>
    <t>CONSUMABLES UNIT COST CALCULATION</t>
  </si>
  <si>
    <t>OTHER UNIT COST CALCULATION</t>
  </si>
  <si>
    <t>Other 1</t>
  </si>
  <si>
    <t>Other 2</t>
  </si>
  <si>
    <t>Other 3</t>
  </si>
  <si>
    <t>Other 4</t>
  </si>
  <si>
    <t>Other 5</t>
  </si>
  <si>
    <t>Other 6</t>
  </si>
  <si>
    <t>Other 7</t>
  </si>
  <si>
    <t>Other 8</t>
  </si>
  <si>
    <t>Other 9</t>
  </si>
  <si>
    <t>Other 10</t>
  </si>
  <si>
    <t>Other</t>
  </si>
  <si>
    <t>Days used per year</t>
  </si>
  <si>
    <t>Maintenance costs</t>
  </si>
  <si>
    <t>Training</t>
  </si>
  <si>
    <t>Courier</t>
  </si>
  <si>
    <t xml:space="preserve">Abt Associates Inc. | 4550 Montgomery Avenue, Suite 800 North | Bethesda, Maryland 20814
T: 301.347.5000 | F: 301.652.3916 | www.abtassociates.com
Avenir Health | Broad Branch Associates | Development Alternatives Inc. (DAI) 
| Johns Hopkins Bloomberg School of Public Health (JHSPH) | Results for Development Institute (R4D) 
| RTI International | Training Resources Group, Inc. (TRG)
</t>
  </si>
  <si>
    <t>Other items</t>
  </si>
  <si>
    <t>SALARY PER YEAR (US$)</t>
  </si>
  <si>
    <t>HOURS WORKED PER WEEK</t>
  </si>
  <si>
    <t>WEEKS WORKED PER YEAR</t>
  </si>
  <si>
    <t>COST PER HOUR WORKED</t>
  </si>
  <si>
    <t>ITEM</t>
  </si>
  <si>
    <t>NUMBER OF TESTS COVERED</t>
  </si>
  <si>
    <t>LEGEND:</t>
  </si>
  <si>
    <t>Other personnel</t>
  </si>
  <si>
    <t>PERSONNEL TYPE (MOH)</t>
  </si>
  <si>
    <t>(KEMRI) MR 1</t>
  </si>
  <si>
    <t>(KEMRI) MR 2</t>
  </si>
  <si>
    <t>(KEMRI) MR 3</t>
  </si>
  <si>
    <t>(KEMRI) MR 4</t>
  </si>
  <si>
    <t>(KEMRI) MR 5</t>
  </si>
  <si>
    <t>(KEMRI) MR 6</t>
  </si>
  <si>
    <t>(KEMRI) MR 7</t>
  </si>
  <si>
    <t>(KEMRI) MR 8</t>
  </si>
  <si>
    <t>(KEMRI) MR 10-Non MD</t>
  </si>
  <si>
    <t>(KEMRI) MR 9</t>
  </si>
  <si>
    <t>(KEMRI) MR 10-MD</t>
  </si>
  <si>
    <t>(KEMRI) MR 11-Non MD</t>
  </si>
  <si>
    <t>(KEMRI) MR 11-MD</t>
  </si>
  <si>
    <t>(KEMRI) MR 12-Non MD</t>
  </si>
  <si>
    <t>(KEMRI) MR 12-MD</t>
  </si>
  <si>
    <t>(KEMRI) MR 13-Non MD</t>
  </si>
  <si>
    <t>(KEMRI) MR 13-MD</t>
  </si>
  <si>
    <t>(KEMRI) MR 14</t>
  </si>
  <si>
    <t xml:space="preserve"> </t>
  </si>
  <si>
    <t>Morocco</t>
  </si>
  <si>
    <t>Myanmar</t>
  </si>
  <si>
    <t>South Sudan</t>
  </si>
  <si>
    <t>Haiti</t>
  </si>
  <si>
    <t>India</t>
  </si>
  <si>
    <t>Zimbabwe</t>
  </si>
  <si>
    <t>Cameroon</t>
  </si>
  <si>
    <t>Kenya</t>
  </si>
  <si>
    <t>Malawi</t>
  </si>
  <si>
    <t>Namibia</t>
  </si>
  <si>
    <t>South Africa</t>
  </si>
  <si>
    <t>Swaziland</t>
  </si>
  <si>
    <t>Thailand</t>
  </si>
  <si>
    <t>Uganda</t>
  </si>
  <si>
    <t>KES</t>
  </si>
  <si>
    <t>INR</t>
  </si>
  <si>
    <t>Botswana</t>
  </si>
  <si>
    <t>BWP</t>
  </si>
  <si>
    <t>MAD</t>
  </si>
  <si>
    <t>MWK</t>
  </si>
  <si>
    <t>NAD</t>
  </si>
  <si>
    <t>ZAR</t>
  </si>
  <si>
    <t>MMK</t>
  </si>
  <si>
    <t>SSP</t>
  </si>
  <si>
    <t>South Sudanese Pound</t>
  </si>
  <si>
    <t>HTG</t>
  </si>
  <si>
    <t>Haitian Gourde</t>
  </si>
  <si>
    <t>Indian Rupees</t>
  </si>
  <si>
    <t>Namibian Dollars</t>
  </si>
  <si>
    <t>South African Rand</t>
  </si>
  <si>
    <t>Botswana Pula</t>
  </si>
  <si>
    <t>Ugandan Shilling</t>
  </si>
  <si>
    <t>Kenyan Shilling</t>
  </si>
  <si>
    <t>ZWD</t>
  </si>
  <si>
    <t>Zimbabwe Dollar</t>
  </si>
  <si>
    <t>CFA</t>
  </si>
  <si>
    <t>Central African Franc</t>
  </si>
  <si>
    <t>Moroccan Dirham</t>
  </si>
  <si>
    <t>Burmese Kyat</t>
  </si>
  <si>
    <t>Malawian Kwacha</t>
  </si>
  <si>
    <t>Swazi Lilangeni</t>
  </si>
  <si>
    <t>SZL</t>
  </si>
  <si>
    <t>THB</t>
  </si>
  <si>
    <t>Thai Bhat</t>
  </si>
  <si>
    <t>UGX</t>
  </si>
  <si>
    <t>Country</t>
  </si>
  <si>
    <t>Local Currency</t>
  </si>
  <si>
    <t>(day/month/year)</t>
  </si>
  <si>
    <t>Exchange rate</t>
  </si>
  <si>
    <t xml:space="preserve">Date of rate: </t>
  </si>
  <si>
    <t>Year of costing data</t>
  </si>
  <si>
    <t>Number of testing facilities included in study</t>
  </si>
  <si>
    <t>Viral Load Testing start up year</t>
  </si>
  <si>
    <t>Public Sector Facilities</t>
  </si>
  <si>
    <t>Location of Facility</t>
  </si>
  <si>
    <t>Central</t>
  </si>
  <si>
    <t>Peripheral</t>
  </si>
  <si>
    <t>Other Facilities</t>
  </si>
  <si>
    <t>Target for Adult viral load monitoring</t>
  </si>
  <si>
    <t>Target for pediatric viral load monitoring</t>
  </si>
  <si>
    <t>Target for EID</t>
  </si>
  <si>
    <t>Year number</t>
  </si>
  <si>
    <t>Facility Level</t>
  </si>
  <si>
    <t>Countries and Currencies</t>
  </si>
  <si>
    <t>Test Types Considered in Study</t>
  </si>
  <si>
    <t>Target Populations</t>
  </si>
  <si>
    <t>Viral load monitoring: Adults</t>
  </si>
  <si>
    <t>Viral load monitoring: Children</t>
  </si>
  <si>
    <t>Early Infant Diagnosis</t>
  </si>
  <si>
    <t>HIV Population 15+</t>
  </si>
  <si>
    <t>Adults on ART</t>
  </si>
  <si>
    <t>Target Populations - Viral Load Monitoring: Adults</t>
  </si>
  <si>
    <t>Target Populations - Viral Load Monitoring: Children</t>
  </si>
  <si>
    <t>HIV Population 0-14</t>
  </si>
  <si>
    <t>Children on ART</t>
  </si>
  <si>
    <t>Women Needing PMTCT</t>
  </si>
  <si>
    <t>Women Receiving PMTCT</t>
  </si>
  <si>
    <t>Total FTEs required (all test types)</t>
  </si>
  <si>
    <t>FTEs required per test</t>
  </si>
  <si>
    <t>Total costs by cost type</t>
  </si>
  <si>
    <t>Total viral load costs</t>
  </si>
  <si>
    <t>The workbook is divided into several sections, which can be located as tabs at the bottome of the tool.  Each of these tabs requires specific inputs from the user.  Each of the input sections is color-coded as follows:</t>
  </si>
  <si>
    <t>INSTRUCTIONS</t>
  </si>
  <si>
    <t>Set up</t>
  </si>
  <si>
    <t>Unit costs</t>
  </si>
  <si>
    <t>Capital and overheads</t>
  </si>
  <si>
    <t>Transport</t>
  </si>
  <si>
    <t>Testing Machines</t>
  </si>
  <si>
    <t>LIFESPAN</t>
  </si>
  <si>
    <t>TESTING MACHINES</t>
  </si>
  <si>
    <t xml:space="preserve">LCx HIV RNA Quantitative assay </t>
  </si>
  <si>
    <t>TaqMan HIV-1 Monitor Test v1.5 48</t>
  </si>
  <si>
    <t xml:space="preserve">Roche COBAS Amplicor HIV-1 Monitor Test 1.5 </t>
  </si>
  <si>
    <t>Roche COBAS AmpliPrep</t>
  </si>
  <si>
    <t>Bayer Versant® HIV-1 RNA 3.0 Assay</t>
  </si>
  <si>
    <t>BIOMÉRIEUX NucliSens EasyQ® HIV-1</t>
  </si>
  <si>
    <t>PRIMAGEN Retina™ Rainbow</t>
  </si>
  <si>
    <t>Abbott M2000 RealTime HIV-1 Assay</t>
  </si>
  <si>
    <t>Alere Q</t>
  </si>
  <si>
    <t>U. Cambridge &amp; DRW Samba I</t>
  </si>
  <si>
    <t>U. Cambridge &amp; DRW Samba II</t>
  </si>
  <si>
    <t>TEST TYPE</t>
  </si>
  <si>
    <t>EQUIPMENT</t>
  </si>
  <si>
    <t>CONSUMABLES</t>
  </si>
  <si>
    <t>OTHER</t>
  </si>
  <si>
    <r>
      <t xml:space="preserve">PERSONNEL TIME REQUIREMENTS PER INDIVIDUAL INTERVENTION (IN </t>
    </r>
    <r>
      <rPr>
        <b/>
        <i/>
        <u/>
        <sz val="11"/>
        <color rgb="FFFF0000"/>
        <rFont val="Calibri"/>
        <family val="2"/>
        <scheme val="minor"/>
      </rPr>
      <t>MINUTES</t>
    </r>
    <r>
      <rPr>
        <b/>
        <sz val="11"/>
        <color rgb="FFC00000"/>
        <rFont val="Calibri"/>
        <family val="2"/>
        <scheme val="minor"/>
      </rPr>
      <t>)</t>
    </r>
  </si>
  <si>
    <t>SALARY PER YEAR           (local currency)</t>
  </si>
  <si>
    <t>BENEFITS PER YEAR             (US$)</t>
  </si>
  <si>
    <t>TOTAL SALARY PER YEAR         (US$)</t>
  </si>
  <si>
    <t>15/11/2016</t>
  </si>
  <si>
    <t>CONSUMABLE</t>
  </si>
  <si>
    <t>Number of tests per annum</t>
  </si>
  <si>
    <t>https://www.laboratory-equipment.com/catalogs.php</t>
  </si>
  <si>
    <t>UNIT COST PER TEST      (US$)</t>
  </si>
  <si>
    <t>UNIT COST                         (US$)</t>
  </si>
  <si>
    <t>NUMBER USED                     PER TEST</t>
  </si>
  <si>
    <t>Vaccutainer needles. (19-23 gauge) (box of 100)</t>
  </si>
  <si>
    <t>Needle Holders (box of 200)</t>
  </si>
  <si>
    <t>Tourniquets (unit of 1)</t>
  </si>
  <si>
    <t>Biohazard containers (unit of 1)</t>
  </si>
  <si>
    <t>Laboratory coats (disposable) (25 per case)</t>
  </si>
  <si>
    <t>Laboratory coats (non-disposable) (Unit of 1)</t>
  </si>
  <si>
    <t>EDTA tubes. (4ml from BD) (box of 100)</t>
  </si>
  <si>
    <t>Alcohol swabs (box of 100)</t>
  </si>
  <si>
    <t>Cotton (500 grams)</t>
  </si>
  <si>
    <t>Biohazard bags. (Red and black) (100 per case)</t>
  </si>
  <si>
    <t>Plasters (unit of 1)</t>
  </si>
  <si>
    <t>Tape (pack of 4)</t>
  </si>
  <si>
    <t>Pen (box of 50)</t>
  </si>
  <si>
    <t>DBS kit (gloves, swabs, lancet, pricker, capillary tube, filter paper, minipax absorbant, plastic bag for sample) (Box of 50)</t>
  </si>
  <si>
    <t>Serological pipettes (3ml) (box of 480)</t>
  </si>
  <si>
    <t xml:space="preserve">Cryovials (screw cap 2ml micro tubes) (pack of 1000) </t>
  </si>
  <si>
    <t>Cobas Ampliprep/Cobas Taqman kits (quantitative) (pack of 48)</t>
  </si>
  <si>
    <t>Cobas Ampliprep/Cobas Taqman kits (qualitative) (pack of 48)</t>
  </si>
  <si>
    <t>SPU (Box of 12)</t>
  </si>
  <si>
    <t>K-TIP (box of 432)</t>
  </si>
  <si>
    <t>S-TUBES (box of 288)</t>
  </si>
  <si>
    <t>K-TUBES (box of 1152)</t>
  </si>
  <si>
    <t>Wash Buffer (5L)</t>
  </si>
  <si>
    <t>1ml pipette tips (box of 2304)</t>
  </si>
  <si>
    <t>200ul pipette tips (box of 2304)</t>
  </si>
  <si>
    <t>5 mL Reaction vessels (box of 2000)</t>
  </si>
  <si>
    <t>200 ml reagent vessels (box of 90)</t>
  </si>
  <si>
    <t>96 deep well plates (box of 32)</t>
  </si>
  <si>
    <t>Master mix tube &amp; cap (box of 150)</t>
  </si>
  <si>
    <t>96 well optical reaction plate (box of 2000)</t>
  </si>
  <si>
    <t>Optical adhesive covers (box of 100)</t>
  </si>
  <si>
    <t>1000ul aerosol barrier tips (box of 960)</t>
  </si>
  <si>
    <t>200ul aerosol barrier tips (box of 960)</t>
  </si>
  <si>
    <t>Plasma Processing tubes (pack of 1000)</t>
  </si>
  <si>
    <t>Pasteur transfer pipets (pack of 480)</t>
  </si>
  <si>
    <t>1.5ml screw cap centrifuge tubes (box of 100)</t>
  </si>
  <si>
    <t>HIV-1 Quant RNA Test kit (unit of 1)</t>
  </si>
  <si>
    <t>Specimen Pre-Extraction kit (SPEX) (box of 50)</t>
  </si>
  <si>
    <t>Sample Preparation Reagent RNA (box of 50)</t>
  </si>
  <si>
    <t>Abbott Control Kit, Calibrator &amp; Quant Amplification RNA Reagent Kit (unit of 1)</t>
  </si>
  <si>
    <t>Abbott Calibrator &amp; Quant Amplification RNA Reagent Kit (unit of 1)</t>
  </si>
  <si>
    <t>1000µl Eppendorf (TECAN) disposable Tips (box of 2304)</t>
  </si>
  <si>
    <t>200µl Eppendorf (TECAN) disposable Tips (box of 2304)</t>
  </si>
  <si>
    <t>200µl Reagent vessels (box of 90)</t>
  </si>
  <si>
    <t>Saarstedt 5ml Reaction Vessel (box of 2000)</t>
  </si>
  <si>
    <t>Abbott 96-Deep-Well plate (box of 32)</t>
  </si>
  <si>
    <t>Abbott 96-Well Optical Adhesive Covers (box of 100)</t>
  </si>
  <si>
    <t>Bulk m-Lysis DNA Buffer ( For DBS Processing only) (250ml)</t>
  </si>
  <si>
    <t>m2000 Real Time PCR Biohazard Bag 32 x 34’’ (pack of 50)</t>
  </si>
  <si>
    <t>Sarstedt Master Mix Tube (box of 100)</t>
  </si>
  <si>
    <t>50ml Falcon Tubes (pack of 500)</t>
  </si>
  <si>
    <t>PIMA Cartridge (pack of 100)</t>
  </si>
  <si>
    <t>paper (1 pack = 500 sheets)</t>
  </si>
  <si>
    <t>cryopen (pack of 5)</t>
  </si>
  <si>
    <t>KIM Wipes (Pack of 100)</t>
  </si>
  <si>
    <t>Tube, Micro-tube sarstedt cat#72.693.005 (pack of 100)</t>
  </si>
  <si>
    <t>Invitrogen, PBS pH 7.2 (box of 10 @ 500ml)</t>
  </si>
  <si>
    <t>Tubes, Sterile Centrifuge, 50mL Conical Polypropylene, Flat top (box of 500)</t>
  </si>
  <si>
    <t>Bags Zip lock bags Plain-bags, 4mil, 9in x 12in (pack of 100)</t>
  </si>
  <si>
    <t>Punch, Pockets (box of 1000)</t>
  </si>
  <si>
    <t>Box, File Robin  Large Plain Assorted Colours (unit of 1)</t>
  </si>
  <si>
    <t>CD,  Writable DVD-RW 4.5GB Sony (Rewritable) (unit of 1)</t>
  </si>
  <si>
    <t>Marker, Sharpie permanent Ultra fine (pack of 12)</t>
  </si>
  <si>
    <t>Staple pins (Size 24/6 (50x100) 12.7mm x 6mm (box of 5000)</t>
  </si>
  <si>
    <t>Envelopes Size A3 (box of 25)</t>
  </si>
  <si>
    <t>Envelopes Size A4 (box of 25)</t>
  </si>
  <si>
    <t>Envelopes Size A5 (box of 25)</t>
  </si>
  <si>
    <t>Gauze Roll 6 Nsterile (850 grams)</t>
  </si>
  <si>
    <t>Soap, Pride Liquid 5L</t>
  </si>
  <si>
    <t>Tape Masking 2'' (unit of 1)</t>
  </si>
  <si>
    <t>Paper, Serviettes 100/pkt (Velvex) (pack of 100)</t>
  </si>
  <si>
    <t>Paper, bench guards absorbent (pack of 50)</t>
  </si>
  <si>
    <t>Toner, Cartridge HP CE 09A (unit of 1)</t>
  </si>
  <si>
    <t>Toner, Cartridge HP Q7553A (unit of 1)</t>
  </si>
  <si>
    <t>Toner, Cartridge HP CE 505A (unit of 1)</t>
  </si>
  <si>
    <t>Toner, Cartidge CE285A(85A)  (unit of 1)</t>
  </si>
  <si>
    <t>Toner, Cartridge CE255A Black  For HP 3015DN (unit of 1)</t>
  </si>
  <si>
    <t>hole punch (unit of 1)</t>
  </si>
  <si>
    <t>Plasma Processing Tube (PPT) (box of 100)</t>
  </si>
  <si>
    <t>Bleach (10% sodium hyperchloride) (3.5 gallons)</t>
  </si>
  <si>
    <t>Tape Packing 2'' brown (unit of 1)</t>
  </si>
  <si>
    <t>SUMMARY - COST PER TEST: BLOOD SAMPLING &amp; PACKAGING</t>
  </si>
  <si>
    <t>PERSONNEL TYPE                                                               (Select from drop-down)</t>
  </si>
  <si>
    <t>EQUIPMENT                                                                        (select from drop-down)</t>
  </si>
  <si>
    <t>TOTALS</t>
  </si>
  <si>
    <t>SUMMARY - COST PER TEST: CENTRIFUGE</t>
  </si>
  <si>
    <t>SUMMARY - COST PER TEST: RUNNING MACHINE</t>
  </si>
  <si>
    <t>SUMMARY - COST PER TEST: QUALITY ASSURANCE</t>
  </si>
  <si>
    <t>SUMMARY - COST PER TEST: TRAINING</t>
  </si>
  <si>
    <t>TRAINING UNIT COST CALCULATION</t>
  </si>
  <si>
    <t>DESCRIPTION OF TRAININGS</t>
  </si>
  <si>
    <t xml:space="preserve">TRAINING                                                                        </t>
  </si>
  <si>
    <t>QMS Implementation</t>
  </si>
  <si>
    <t>SLAMTA training</t>
  </si>
  <si>
    <t>GCP</t>
  </si>
  <si>
    <t>GCLP</t>
  </si>
  <si>
    <t>Bioethics</t>
  </si>
  <si>
    <t>Commodity Management</t>
  </si>
  <si>
    <t>Management Training</t>
  </si>
  <si>
    <t>Biosafety/Biosecurity</t>
  </si>
  <si>
    <t>Manuscript Writing</t>
  </si>
  <si>
    <t>Internal Assesment</t>
  </si>
  <si>
    <t>Biostatistics</t>
  </si>
  <si>
    <t>Training Location</t>
  </si>
  <si>
    <t>Regional</t>
  </si>
  <si>
    <t>International</t>
  </si>
  <si>
    <r>
      <t xml:space="preserve">PERSONNEL TIME PER TRAINING PER PLATFORM (IN </t>
    </r>
    <r>
      <rPr>
        <b/>
        <i/>
        <u/>
        <sz val="11"/>
        <color rgb="FFFF0000"/>
        <rFont val="Calibri"/>
        <family val="2"/>
        <scheme val="minor"/>
      </rPr>
      <t>MINUTES</t>
    </r>
    <r>
      <rPr>
        <b/>
        <sz val="11"/>
        <color rgb="FFC00000"/>
        <rFont val="Calibri"/>
        <family val="2"/>
        <scheme val="minor"/>
      </rPr>
      <t>)</t>
    </r>
  </si>
  <si>
    <t>TRAINING</t>
  </si>
  <si>
    <t>Number of testing platforms</t>
  </si>
  <si>
    <t>TOTAL</t>
  </si>
  <si>
    <t>Assumptions:</t>
  </si>
  <si>
    <t>Participants were drawn from all 7 labs for each training event</t>
  </si>
  <si>
    <t>The estimated cost per person includes all per diems and incidentals</t>
  </si>
  <si>
    <t>All trainings listed in the Training Budget Review sheet took place during the period under review</t>
  </si>
  <si>
    <t>All training events are for 5 days each</t>
  </si>
  <si>
    <t>Made assumptions about the equipment and consumables used - no definitive list exists</t>
  </si>
  <si>
    <t>Included cost per machine as we do not have the rental price</t>
  </si>
  <si>
    <t xml:space="preserve">TRANSPORT UNIT COST CALCULATION - MOH </t>
  </si>
  <si>
    <t>VEHICLES USED FOR TRANSPORT</t>
  </si>
  <si>
    <t>Vehicle Type</t>
  </si>
  <si>
    <t>Van</t>
  </si>
  <si>
    <t>Minivan</t>
  </si>
  <si>
    <t>Truck</t>
  </si>
  <si>
    <t>Car</t>
  </si>
  <si>
    <t># of samples tranported per day</t>
  </si>
  <si>
    <t>Life span of vehicle (yrs)</t>
  </si>
  <si>
    <t>Location</t>
  </si>
  <si>
    <t>Number of Participants</t>
  </si>
  <si>
    <t># of Testing Platforms Served</t>
  </si>
  <si>
    <t>Estimated Cost per Person    (Local Currency)</t>
  </si>
  <si>
    <t>Total Cost                              (Local Currency)</t>
  </si>
  <si>
    <t>Total Cost                                  (US$)</t>
  </si>
  <si>
    <t>Proportion of Cost per Platform</t>
  </si>
  <si>
    <t>Total Cost</t>
  </si>
  <si>
    <t>Transport Personnel</t>
  </si>
  <si>
    <t>Motorcycle Driver</t>
  </si>
  <si>
    <t>Car Driver</t>
  </si>
  <si>
    <t>Truck Driver</t>
  </si>
  <si>
    <t>Driver time based on 8hr day</t>
  </si>
  <si>
    <t>Private Sector - Other</t>
  </si>
  <si>
    <t>Public Sector - MOH</t>
  </si>
  <si>
    <t>SUMMARY - COST PER TEST: TRANSPORT</t>
  </si>
  <si>
    <t>VEHICLE</t>
  </si>
  <si>
    <t>Sub-process sheets</t>
  </si>
  <si>
    <t>Health Facilities</t>
  </si>
  <si>
    <t>ABIDHA HEALTH CENTRE</t>
  </si>
  <si>
    <t>AKALA HEALTH CENTRE</t>
  </si>
  <si>
    <t>BAR AGULU DISPENSARY</t>
  </si>
  <si>
    <t>BAR ALURU DISPENSARY</t>
  </si>
  <si>
    <t>BAR OLENGO DISPENSARY</t>
  </si>
  <si>
    <t>DIENYA HEALTH CENTRE</t>
  </si>
  <si>
    <t>KOGELO DISPENSARY</t>
  </si>
  <si>
    <t>MADIANY SUBDISTRICT HOSPITAL</t>
  </si>
  <si>
    <t>MASOGO DISPENSARY</t>
  </si>
  <si>
    <t>MULAHA DISPENSARY</t>
  </si>
  <si>
    <t>MUR MALANGA DISPENSARY</t>
  </si>
  <si>
    <t>NDORI HEALTH CENTRE</t>
  </si>
  <si>
    <t>NYAWARA DISPENSARY HOSPITAL</t>
  </si>
  <si>
    <t>OGERO DISPENSARY</t>
  </si>
  <si>
    <t>ONGIELO HEALTH CENTRE</t>
  </si>
  <si>
    <t>RERA HEALTH CENTRE</t>
  </si>
  <si>
    <t>SARADIDI DISPENSARY</t>
  </si>
  <si>
    <t>SIAYA COUNTY REFERRAL HOSPITAL</t>
  </si>
  <si>
    <t>SIREMBE DISPENSARY</t>
  </si>
  <si>
    <t>WAGAI DISPENSARY</t>
  </si>
  <si>
    <t>YALA SUB COUNTY HOSPITAL</t>
  </si>
  <si>
    <t>KEMRI/CDC Laboratory</t>
  </si>
  <si>
    <t>lab as portion of facility</t>
  </si>
  <si>
    <t>phlebotomy room as portion of facility</t>
  </si>
  <si>
    <t>PSC as portion of facility</t>
  </si>
  <si>
    <t>MCH as portion of facility</t>
  </si>
  <si>
    <t>Other facility rooms</t>
  </si>
  <si>
    <t>lab rooms 1</t>
  </si>
  <si>
    <t>lab rooms 2</t>
  </si>
  <si>
    <t>lab rooms 3</t>
  </si>
  <si>
    <t>lab room 4</t>
  </si>
  <si>
    <t>n/a</t>
  </si>
  <si>
    <t>SUMMARY - COST PER TEST: CAPITAL &amp; OVERHEADS</t>
  </si>
  <si>
    <t>ELECTRICITY</t>
  </si>
  <si>
    <t>WATER</t>
  </si>
  <si>
    <t>OVERSIGHT</t>
  </si>
  <si>
    <t>FACILITY/LAB SIZE CALCULATION</t>
  </si>
  <si>
    <t>PROPORTION OF FACILITY DEVOTED TO LAB SERVICES</t>
  </si>
  <si>
    <t>Lab as portion of facility</t>
  </si>
  <si>
    <t>Phlebotomy room as portion of facility</t>
  </si>
  <si>
    <t>Size of facility (Sq Ft.)</t>
  </si>
  <si>
    <t>Size of facility    (Sq Ft)</t>
  </si>
  <si>
    <t>Size of lab related areas of facility       (Sq Ft)</t>
  </si>
  <si>
    <t>SIZE</t>
  </si>
  <si>
    <t>Cost per sq ft US$</t>
  </si>
  <si>
    <t xml:space="preserve">Used US$ cost per square foot within Nairobi </t>
  </si>
  <si>
    <t>Cost for lab related space   (US$)</t>
  </si>
  <si>
    <t>Represented facilities assumed to be part of study</t>
  </si>
  <si>
    <t>FACILITY/LAB UTILITY COST CALCULATION</t>
  </si>
  <si>
    <t>COST OF UTILITIES PER TEST PER DAY</t>
  </si>
  <si>
    <t>All supervision inputs are arbitrary, fictional estimates to demonstrate functionality of the tool</t>
  </si>
  <si>
    <t>OVERSIGHT UNIT COST CALCULATION</t>
  </si>
  <si>
    <r>
      <t xml:space="preserve">PERSONNEL TIME REQUIREMENTS FOR OVERSIGHT (IN </t>
    </r>
    <r>
      <rPr>
        <b/>
        <i/>
        <u/>
        <sz val="11"/>
        <color rgb="FFFF0000"/>
        <rFont val="Calibri"/>
        <family val="2"/>
        <scheme val="minor"/>
      </rPr>
      <t>MINUTES</t>
    </r>
    <r>
      <rPr>
        <b/>
        <sz val="11"/>
        <color rgb="FFC00000"/>
        <rFont val="Calibri"/>
        <family val="2"/>
        <scheme val="minor"/>
      </rPr>
      <t>)</t>
    </r>
  </si>
  <si>
    <t>Consumables and equipment are arbitrary and fictional and for demonstration purposes only</t>
  </si>
  <si>
    <t>The user first selects the facilities that are included in the study from the drop-down list in the first table.  This will automatically generate the size of the facility; the proportion of the facility taken up by space devoted to lab and lab-related work; the total space attributable to lab or lab-related work space and the cost of that space.  The list of facilities selected for the study will also automatically generate the costs for utilities (i.e. electricity and water) in both local currency and US$.  Finally, the user selects the cadre of personnel involved in supervision from the drop-down list in the third table and manually inputs the number of minutes each cadre devotes to supervision related activities.  This will automatically generate the cost per hour of staff time per cadre in US$.  The tabel at the top of the sheet summarizes the inputs.</t>
  </si>
  <si>
    <t>EQUIPMENT COSTS</t>
  </si>
  <si>
    <t>Reagents</t>
  </si>
  <si>
    <t>REAGENTS</t>
  </si>
  <si>
    <t>Facility Type/Level</t>
  </si>
  <si>
    <t>Health Facility Type/Level</t>
  </si>
  <si>
    <t>Referal Hospital</t>
  </si>
  <si>
    <t>Reference Laboratory</t>
  </si>
  <si>
    <t>District Health Center</t>
  </si>
  <si>
    <t>Clinic</t>
  </si>
  <si>
    <t>Health Outpost</t>
  </si>
  <si>
    <t>Dispensary</t>
  </si>
  <si>
    <t>Sub-district Hospital</t>
  </si>
  <si>
    <t>Regional/Provincial/County Hospital</t>
  </si>
  <si>
    <t>When the country has opted for equipment to be on placement, or "reagent rental", the cost of renting the testing equipment is assumed to be embedded in the cost of the reagents</t>
  </si>
  <si>
    <t>Assumed 250 day work year</t>
  </si>
  <si>
    <t>EQUIPMENT                                                                                        (select from drop-down)</t>
  </si>
  <si>
    <t>Lifespan of all equipment assumed to be five years</t>
  </si>
  <si>
    <t>FACILITY TYPE                                                                                  (Select from drop-down)</t>
  </si>
  <si>
    <t>Total cost of electricity for the last calendar year? (KES)</t>
  </si>
  <si>
    <t>Total cost of electricity for the last calendar year? (US$)</t>
  </si>
  <si>
    <t>Total cost of water for the last calendar year? (KES)</t>
  </si>
  <si>
    <t>Total cost of water for the last calendar year? (US$)</t>
  </si>
  <si>
    <t>Lab Cost of Electricity per Test per Day                          (Local currency)</t>
  </si>
  <si>
    <t>Lab Cost of Electricity per Test per Day                          (US$)</t>
  </si>
  <si>
    <t>Lab Cost of Water per Test per Day                         (Local currency)</t>
  </si>
  <si>
    <t>Lab Cost of Water per Test per Day                         (UD$)</t>
  </si>
  <si>
    <t>In the first table, the user must manually input a description of the training, where the training was held (i.e. was it international, national, regional, etc.), how many participants were involved in the training, how many of the specific testing platforms were served by the training, and what was the estimated cost per person of the training (in local currency).  The table then automatically calculates the total cost of the training (and its US$ equivalent), and the proportion of that total cost that went to each testing platform served by the particular training.  In the second table, the user manually inputs the total amount of time (in minutes) that the total number of personnel in each cadre has been involved in training.  This will then be automatically calculated into the hourly cost of personnel training time per test per day in the next table.  Again, the final table is a placeholder.  If there are any unique needsfor this sub-process for a specific application of this tool, they may be placed here.</t>
  </si>
  <si>
    <t>Number of tests per batch</t>
  </si>
  <si>
    <t>Number of controls per batch</t>
  </si>
  <si>
    <t>Cost</t>
  </si>
  <si>
    <t>This machine can be loaded however the user decides, I can't find clear instructions on the recommended sample-control configuration</t>
  </si>
  <si>
    <t>testing cartridge contains controls; can run 5 batches per day; can also run 1-4 tests at different times</t>
  </si>
  <si>
    <t>can also work in conjunction with AmpliPrep</t>
  </si>
  <si>
    <t>automated sample preparation, works in conjunction with TaqMan machines to prep and autoload samples (if lab has "Roche Cobas Ampliprep - Cobas TaqMan" on placement, both components are on placement</t>
  </si>
  <si>
    <t>to my understanding this is an assay, run on the Abbott, not a testing platform</t>
  </si>
  <si>
    <t>tests 2 batches of 21 samples, 3 controls in a continuous cycle</t>
  </si>
  <si>
    <t>tests 4 batches of 21 samples, 3 controls in a continuous cycle</t>
  </si>
  <si>
    <t>testing cartridge contains controls; can run 8 batches per day</t>
  </si>
  <si>
    <t>Notes</t>
  </si>
  <si>
    <t>Number of Tests Done per Day</t>
  </si>
  <si>
    <t>COST</t>
  </si>
  <si>
    <t>UNIT COST</t>
  </si>
  <si>
    <t>% OF USE DEVOTED TO TESTING</t>
  </si>
  <si>
    <t>182 (2 batches of 96)</t>
  </si>
  <si>
    <t>192 (8 batches of 24)</t>
  </si>
  <si>
    <t>Number of tests run in 8-hour day</t>
  </si>
  <si>
    <t>Number of tests done per year</t>
  </si>
  <si>
    <t>EQUIPMENT                                                                                       (select from drop-down)</t>
  </si>
  <si>
    <t>NUMBER OF SAMPLES HANDLED PER YEAR PER ITEM</t>
  </si>
  <si>
    <t>Equipment</t>
  </si>
  <si>
    <t>Capital Costs</t>
  </si>
  <si>
    <t>Overheads</t>
  </si>
  <si>
    <t xml:space="preserve">Nurse  </t>
  </si>
  <si>
    <t>TYPE 1</t>
  </si>
  <si>
    <t>TYPE 2</t>
  </si>
  <si>
    <t>TYPE 3</t>
  </si>
  <si>
    <t>TYPE 4</t>
  </si>
  <si>
    <t xml:space="preserve">Nurse Assistant </t>
  </si>
  <si>
    <t>Lab Technologist</t>
  </si>
  <si>
    <t>TRANSPORT UNIT COST CALCULATION - NON-PUBLIC SECTOR/OTHER</t>
  </si>
  <si>
    <t>This Excel-based spreadsheet tool, developed by USAID’s Health Finance and Governance (HFG) project, can be used to estimate the costs and human resource implications of scaling up HIV viral load monitoring and the use of viral load testing for early infant diagnosis (EID), based on a mix of different testing options.  Users can choose between detailed and high level unit cost estimate options, and view outputs accordingly.  When the tool is being used to calculate costs for Point of Care (POC) testing, the pages for Transportation and Cetrifuge, may not be necessary and should be excluded from the analysis.</t>
  </si>
  <si>
    <t xml:space="preserve">The Setup sheet defines the parameters for costing viral load testing.  The user should select their country from the drop-down list, and then enter the exchange rate to US dollars. The user should also include the date of the exchange rate. 
The User should enter the test types to be considered and input, from country data, the number of tests done per day for each of the testing platforms selected.  The user should also use the dropdown menus to select the target populations for adult and child viral load monitoring, as well as early infant diagnosis.  Pre-populated target populations have been provided using the Spectrum modeling that countries complete with UNAIDS.  Users can update this data when it becomes available or, if better, more current data exists, users can choose to overwrite the pre-populated numbers. 
Pre-populated options for adult viral load costing include:
- Adult HIV+ (15 and over)
- Adults on ART (15 and over)
- Other – if the “other” option is selected, the user will need to enter their own target population on the service calculations tab. 
Pre-populated options for child viral load monitoring include:
- HIV+ children (0-14)
- Children on ART (0-14)
- Other – if the “other” option is selected, the user will need to enter their own target population on the service calculations tab. 
Pre-populated options for early infant diagnosis include:
- Women needing PMTCT (HIV+ pregnancies)
- Women receiving PMTCT (known HIV+ pregnancies receiving PMTCT services)
- Other – if the “other” option is selected, the user will need to enter their own target population on the service calculations tab. 
The final table is to identify the facilities (either public sector, private sector, or non-governmental) that participated in the costing exercise.  There are a number of possible choices in the dropdown list provided.  If the level of facility the user wishes to designate is not represented, "Other" could be entered. </t>
  </si>
  <si>
    <t>This sheet is important in that much of the data for calculating the costs for different segments in the process of VL monitoring and EID, so please check your data and make sure that it is input correctly.  The User should input the testing machine in use in the country of study.  All the various health and related personnel involved in either VL monitoring or EID testing should be listed along with their annual salaries (in local currency).  The other columns will be calculated out automatically.  From a drop-down list the user should select all the consumables used in either VL monitoring or EID testing.  Selections will be entered along with their unit cost (these can be modified based on circumstances and purchasing variabilities).  The user will have to determine how many tests are covered by each consumable given the basic unit of each, and the number used per test.  The unit cost per test is calculated out automatically.  The user should input the equipment (and vehicles) that are used, the proportion of that equipments operations that are used for testing, and their costs.</t>
  </si>
  <si>
    <r>
      <t>For the following four sheets (</t>
    </r>
    <r>
      <rPr>
        <b/>
        <sz val="11"/>
        <color theme="1"/>
        <rFont val="Calibri"/>
        <family val="2"/>
        <scheme val="minor"/>
      </rPr>
      <t>Blood sample &amp; packaging</t>
    </r>
    <r>
      <rPr>
        <sz val="11"/>
        <color theme="1"/>
        <rFont val="Calibri"/>
        <family val="2"/>
        <scheme val="minor"/>
      </rPr>
      <t xml:space="preserve">; </t>
    </r>
    <r>
      <rPr>
        <b/>
        <sz val="11"/>
        <color theme="1"/>
        <rFont val="Calibri"/>
        <family val="2"/>
        <scheme val="minor"/>
      </rPr>
      <t>Centrifuge</t>
    </r>
    <r>
      <rPr>
        <sz val="11"/>
        <color theme="1"/>
        <rFont val="Calibri"/>
        <family val="2"/>
        <scheme val="minor"/>
      </rPr>
      <t xml:space="preserve">; </t>
    </r>
    <r>
      <rPr>
        <b/>
        <sz val="11"/>
        <color theme="1"/>
        <rFont val="Calibri"/>
        <family val="2"/>
        <scheme val="minor"/>
      </rPr>
      <t>Running machine</t>
    </r>
    <r>
      <rPr>
        <sz val="11"/>
        <color theme="1"/>
        <rFont val="Calibri"/>
        <family val="2"/>
        <scheme val="minor"/>
      </rPr>
      <t xml:space="preserve">; and </t>
    </r>
    <r>
      <rPr>
        <b/>
        <sz val="11"/>
        <color theme="1"/>
        <rFont val="Calibri"/>
        <family val="2"/>
        <scheme val="minor"/>
      </rPr>
      <t>Quality assurance</t>
    </r>
    <r>
      <rPr>
        <sz val="11"/>
        <color theme="1"/>
        <rFont val="Calibri"/>
        <family val="2"/>
        <scheme val="minor"/>
      </rPr>
      <t xml:space="preserve">) the same approach is used.  The user first selects from the drop-down list all the personnel involved in that particular sub-process.  In the first table the user must input the time required by each cadre of personnel to perform their function for the given sub-process.  This is then automatically translated in the next table into the hourly cost of personnel per test per day.  The user then selects from the drop-down list the equipment used in the sub-process.  This is automatically calaculated out to the proportion of equipment cost per test in the next table.   The user then selects from the drop-down list the items needed to perform each sub-process per day.  This is then automatically translated into the unit cost per test per day in the next table.  Please note that for the “Running Machine” and “Quality Assurance” tabs, there is an additional section where, based on the testing platform selected, the cost of the reagents consumed is automatically input.    The final table is a placeholder.  If there are any unique needs for this sub-process for a specific application of this tool, they may be placed here. </t>
    </r>
  </si>
  <si>
    <t>The transport sheet is divided into two sections. One section devoted to transport costs incurred through public sector mechanisms (e.g. through the MOH); and another devoted to costs incurred through any other mechanism, perhaps if transport has been outsourced to the private sector.  The approach in each section follows the same format.  In the first table, the user selects from the drop-down list all the personnel involved in transportation of samples and inputs the time required by each to perform their function.  This is then automatically translated in the next table into the hourly cost of personnel per test per day.  In the next table, the user inputs the vehicles used for transportation of samples.  This includes the cost for the vehicle, the lifespan of the vehicle, the number of days used, the number of samples transported, and the number of different testing platforms served (if there is any distinction).  The maintenance costs and total cost of the vehicles identified are automatically calaculated and the cost per test are calculated based on the number of tests run per platform per day.  The user then selects from the drop-down list the equipment used in the sub-process.  This is automatically calaculated out to the proportion of equipment cost per test in the next table.   The user then selects from the drop-down list the items needed to perform each sub-process per day.  This is then automatically translated into the unit cost per test per day in the next table.                                                                                                                                                                                                         The cost calculations for transport can be presented in the "Results" section in one of three ways: 1) wholly public sector; 2) wholly private; or 3) a mix.  If a public sector transport system is costed, the user should be sure to include along with all HR, equipment, and consumable costs, vehicle costs which should be added to equipment costs to ensure a complete picture.  If an out-sourced mode of transport is costed, there is likely no vehicle costs and only HR, equipment, and consumables are included (as in the Kenya pilot example for this tool).  If a mixed transport strategy is being costsed, the user should ensure that all costs, both public and private, in their correct proportions, are added together to present comprehensive transport costs.</t>
  </si>
  <si>
    <t>DO NOT EDIT LISTS WITHOUT SAVING A COPY OF THE TOOL BEFOREHAND</t>
  </si>
  <si>
    <r>
      <t>This tool was produced for review by the United States Agency for International Development. 
It was prepared by Peter Stegman, Rachel Sanders, Chris Cintron, and Carlos Avila for the Health Finance and Governance Project.</t>
    </r>
    <r>
      <rPr>
        <b/>
        <sz val="11"/>
        <color theme="1"/>
        <rFont val="Gill Sans MT"/>
        <family val="2"/>
      </rPr>
      <t xml:space="preserve">
The Health Finance and Governance Project
</t>
    </r>
    <r>
      <rPr>
        <sz val="11"/>
        <color theme="1"/>
        <rFont val="Gill Sans MT"/>
        <family val="2"/>
      </rPr>
      <t xml:space="preserve">
USAID’s Health Finance and Governance (HFG) project helps to improve health in developing countries by expanding people’s access to health care. Led by Abt Associates, the project team works with partner countries to increase their domestic resources for health, manage those precious resources more effectively, and make wise purchasing decisions. The five-year, $209 million global project is intended to increase the use of both primary and priority health services, including HIV/AIDS, tuberculosis, malaria, and reproductive health services. Designed to fundamentally strengthen health systems, HFG supports countries as they navigate the economic transitions needed to achieve universal health care. 
</t>
    </r>
    <r>
      <rPr>
        <b/>
        <sz val="11"/>
        <color theme="1"/>
        <rFont val="Gill Sans MT"/>
        <family val="2"/>
      </rPr>
      <t xml:space="preserve">April 2017
</t>
    </r>
    <r>
      <rPr>
        <sz val="11"/>
        <color theme="1"/>
        <rFont val="Gill Sans MT"/>
        <family val="2"/>
      </rPr>
      <t xml:space="preserve">
</t>
    </r>
    <r>
      <rPr>
        <b/>
        <sz val="11"/>
        <color theme="1"/>
        <rFont val="Gill Sans MT"/>
        <family val="2"/>
      </rPr>
      <t>Cooperative Agreement No</t>
    </r>
    <r>
      <rPr>
        <sz val="11"/>
        <color theme="1"/>
        <rFont val="Gill Sans MT"/>
        <family val="2"/>
      </rPr>
      <t xml:space="preserve">: AID-OAA-A-12-00080
</t>
    </r>
    <r>
      <rPr>
        <b/>
        <sz val="11"/>
        <color theme="1"/>
        <rFont val="Gill Sans MT"/>
        <family val="2"/>
      </rPr>
      <t>Submitted to</t>
    </r>
    <r>
      <rPr>
        <sz val="11"/>
        <color theme="1"/>
        <rFont val="Gill Sans MT"/>
        <family val="2"/>
      </rPr>
      <t xml:space="preserve">: Scott Stewart, AOR
                           Office of Health Systems
                           Bureau for Global Health
</t>
    </r>
    <r>
      <rPr>
        <b/>
        <sz val="11"/>
        <color theme="1"/>
        <rFont val="Gill Sans MT"/>
        <family val="2"/>
      </rPr>
      <t>Recommended Citation:</t>
    </r>
    <r>
      <rPr>
        <sz val="11"/>
        <color theme="1"/>
        <rFont val="Gill Sans MT"/>
        <family val="2"/>
      </rPr>
      <t xml:space="preserve">  Stegman, Peter, Rachel Sanders, Chris Cintron, and Carlos Avila. May 2016. Costs of HIV Viral Load and Early Infant Diagnosis: Forecasting Tool. Bethesda, MD: Health Finance &amp; Governance Project, Abt Associates Inc.
</t>
    </r>
    <r>
      <rPr>
        <b/>
        <sz val="11"/>
        <color theme="1"/>
        <rFont val="Gill Sans MT"/>
        <family val="2"/>
      </rPr>
      <t/>
    </r>
  </si>
  <si>
    <t>COST (US$)</t>
  </si>
  <si>
    <t>Unit Cost (US$)</t>
  </si>
  <si>
    <r>
      <t xml:space="preserve">COST OF HOURLY PERSONNEL TIME PER TEST (IN </t>
    </r>
    <r>
      <rPr>
        <b/>
        <i/>
        <u/>
        <sz val="11"/>
        <color rgb="FFFF0000"/>
        <rFont val="Calibri"/>
        <family val="2"/>
        <scheme val="minor"/>
      </rPr>
      <t>US$</t>
    </r>
    <r>
      <rPr>
        <b/>
        <sz val="11"/>
        <color rgb="FFC00000"/>
        <rFont val="Calibri"/>
        <family val="2"/>
        <scheme val="minor"/>
      </rPr>
      <t>)</t>
    </r>
  </si>
  <si>
    <t>Alere q HIV1 Detect</t>
  </si>
  <si>
    <t>Cepheid GeneXpert HIV VL quant</t>
  </si>
  <si>
    <t xml:space="preserve">COST PER TEST </t>
  </si>
  <si>
    <t>NUMBER OF SAMPLES HANDLED PER ITEM</t>
  </si>
  <si>
    <t>COST PER TEST</t>
  </si>
  <si>
    <t>NUMBER OF SAMPLES HANDLED PER YEAR</t>
  </si>
  <si>
    <r>
      <t xml:space="preserve">COST OF HOURLY PERSONNEL TIME PER TEST  (IN </t>
    </r>
    <r>
      <rPr>
        <b/>
        <i/>
        <u/>
        <sz val="11"/>
        <color rgb="FFFF0000"/>
        <rFont val="Calibri"/>
        <family val="2"/>
        <scheme val="minor"/>
      </rPr>
      <t>US$</t>
    </r>
    <r>
      <rPr>
        <b/>
        <sz val="11"/>
        <color rgb="FFC00000"/>
        <rFont val="Calibri"/>
        <family val="2"/>
        <scheme val="minor"/>
      </rPr>
      <t>)</t>
    </r>
  </si>
  <si>
    <t>NUMBER OF ITEMS NEEDED PER TEST</t>
  </si>
  <si>
    <t>Abbott M2000 RealTime</t>
  </si>
  <si>
    <t>Cepheid GeneXpert IV</t>
  </si>
  <si>
    <t>Roche COBAS Ampliprep/TaqMan 48</t>
  </si>
  <si>
    <t>Roche COBAS Ampliprep/TaqMan 96</t>
  </si>
  <si>
    <t>COST  PER TEST</t>
  </si>
  <si>
    <t>REAGENTS NEEDED PER TEST</t>
  </si>
  <si>
    <t>NUMBER OF ITEMS NEEDED  PER TEST</t>
  </si>
  <si>
    <t>QA/CONTROL MATERIALS NEEDED  PER TEST</t>
  </si>
  <si>
    <t>Trainings knowledge/skills/certifications are valid for 3 years</t>
  </si>
  <si>
    <t>Cost for Vehicle (US$)</t>
  </si>
  <si>
    <t>Cost per Sample (US$)</t>
  </si>
  <si>
    <t>VEHICLES USED FOR TRANSPORT (if being paid for)</t>
  </si>
  <si>
    <r>
      <t xml:space="preserve">HOURLY COST OF PERSONNEL TIME PER TEST (IN </t>
    </r>
    <r>
      <rPr>
        <b/>
        <i/>
        <u/>
        <sz val="11"/>
        <color rgb="FFFF0000"/>
        <rFont val="Calibri"/>
        <family val="2"/>
        <scheme val="minor"/>
      </rPr>
      <t>US$</t>
    </r>
    <r>
      <rPr>
        <b/>
        <sz val="11"/>
        <color rgb="FFC00000"/>
        <rFont val="Calibri"/>
        <family val="2"/>
        <scheme val="minor"/>
      </rPr>
      <t>)</t>
    </r>
  </si>
  <si>
    <t>OTHER OVERHEADS</t>
  </si>
  <si>
    <t>enter cost per test</t>
  </si>
  <si>
    <t xml:space="preserve">Enter unit cost </t>
  </si>
  <si>
    <t>Enter unit cost</t>
  </si>
  <si>
    <t>Total need for testing</t>
  </si>
  <si>
    <t>90% testing target</t>
  </si>
  <si>
    <t>US$ 2016</t>
  </si>
  <si>
    <t>Total tests by type, with scaled annual need</t>
  </si>
  <si>
    <t>*** We recommend saving a separate copy of the tool before use. It may also be helpful to calculate lab-based and POC costs separately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</si>
</sst>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7" formatCode="&quot;$&quot;#,##0.00_);\(&quot;$&quot;#,##0.00\)"/>
    <numFmt numFmtId="44" formatCode="_(&quot;$&quot;* #,##0.00_);_(&quot;$&quot;* \(#,##0.00\);_(&quot;$&quot;* &quot;-&quot;??_);_(@_)"/>
    <numFmt numFmtId="43" formatCode="_(* #,##0.00_);_(* \(#,##0.00\);_(* &quot;-&quot;??_);_(@_)"/>
    <numFmt numFmtId="164" formatCode="0.00;;\-\-"/>
    <numFmt numFmtId="165" formatCode="_(* #,##0_);_(* \(#,##0\);_(* &quot;-&quot;??_);_(@_)"/>
    <numFmt numFmtId="166" formatCode="&quot;$&quot;#,##0"/>
    <numFmt numFmtId="167" formatCode="_-* #,##0.00_-;\-* #,##0.00_-;_-* &quot;-&quot;??_-;_-@_-"/>
    <numFmt numFmtId="168" formatCode="_-&quot;£&quot;* #,##0.00_-;\-&quot;£&quot;* #,##0.00_-;_-&quot;£&quot;* &quot;-&quot;??_-;_-@_-"/>
    <numFmt numFmtId="169" formatCode="0.0;\(0.0\);\-\-"/>
    <numFmt numFmtId="170" formatCode="&quot;$&quot;#,##0.0"/>
    <numFmt numFmtId="171" formatCode="_(* #,##0.0_);_(* \(#,##0.0\);_(* &quot;-&quot;??_);_(@_)"/>
    <numFmt numFmtId="172" formatCode="#,##0;\(#,##0\);\-\-"/>
    <numFmt numFmtId="173" formatCode="0.0"/>
    <numFmt numFmtId="174" formatCode="_-[$$-409]* #,##0_ ;_-[$$-409]* \-#,##0\ ;_-[$$-409]* &quot;-&quot;??_ ;_-@_ "/>
    <numFmt numFmtId="175" formatCode="m/d/yy;@"/>
    <numFmt numFmtId="176" formatCode="0.000"/>
    <numFmt numFmtId="177" formatCode="#,##0.0"/>
    <numFmt numFmtId="178" formatCode="0.0000;;\-\-"/>
    <numFmt numFmtId="179" formatCode="_(&quot;$&quot;* #,##0.000_);_(&quot;$&quot;* \(#,##0.000\);_(&quot;$&quot;* &quot;-&quot;??_);_(@_)"/>
    <numFmt numFmtId="180" formatCode="_(* #,##0.000000000_);_(* \(#,##0.000000000\);_(* &quot;-&quot;??_);_(@_)"/>
    <numFmt numFmtId="181" formatCode="_(&quot;$&quot;* #,##0.0000_);_(&quot;$&quot;* \(#,##0.0000\);_(&quot;$&quot;*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0"/>
      <color indexed="12"/>
      <name val="Arial"/>
      <family val="2"/>
    </font>
    <font>
      <b/>
      <u/>
      <sz val="10"/>
      <color theme="0"/>
      <name val="Calibri"/>
      <family val="2"/>
      <scheme val="minor"/>
    </font>
    <font>
      <sz val="10"/>
      <name val="Arial"/>
      <family val="2"/>
      <charset val="204"/>
    </font>
    <font>
      <b/>
      <sz val="11"/>
      <name val="Calibri"/>
      <family val="2"/>
      <scheme val="minor"/>
    </font>
    <font>
      <sz val="10"/>
      <name val="Arial"/>
      <family val="2"/>
    </font>
    <font>
      <sz val="11"/>
      <name val="Calibri"/>
      <family val="2"/>
      <scheme val="minor"/>
    </font>
    <font>
      <i/>
      <sz val="11"/>
      <color rgb="FFFF0000"/>
      <name val="Calibri"/>
      <family val="2"/>
      <scheme val="minor"/>
    </font>
    <font>
      <sz val="11"/>
      <color rgb="FF000000"/>
      <name val="Calibri"/>
      <family val="2"/>
      <scheme val="minor"/>
    </font>
    <font>
      <sz val="11"/>
      <color theme="1"/>
      <name val="Times New Roman"/>
      <family val="2"/>
    </font>
    <font>
      <sz val="10"/>
      <name val="Arial"/>
    </font>
    <font>
      <sz val="9"/>
      <color theme="1"/>
      <name val="Gill Sans MT"/>
      <family val="2"/>
    </font>
    <font>
      <b/>
      <sz val="11"/>
      <color theme="1"/>
      <name val="Gill Sans MT"/>
      <family val="2"/>
    </font>
    <font>
      <b/>
      <sz val="12"/>
      <name val="Calibri"/>
      <family val="2"/>
      <scheme val="minor"/>
    </font>
    <font>
      <i/>
      <sz val="11"/>
      <name val="Calibri"/>
      <family val="2"/>
      <scheme val="minor"/>
    </font>
    <font>
      <b/>
      <sz val="16"/>
      <name val="Calibri"/>
      <family val="2"/>
      <scheme val="minor"/>
    </font>
    <font>
      <b/>
      <sz val="10"/>
      <name val="Gisha"/>
      <family val="2"/>
    </font>
    <font>
      <sz val="10"/>
      <name val="Gisha"/>
      <family val="2"/>
    </font>
    <font>
      <b/>
      <sz val="12"/>
      <color theme="1"/>
      <name val="Calibri"/>
      <family val="2"/>
      <scheme val="minor"/>
    </font>
    <font>
      <b/>
      <sz val="14"/>
      <color theme="1"/>
      <name val="Calibri"/>
      <family val="2"/>
      <scheme val="minor"/>
    </font>
    <font>
      <sz val="11"/>
      <color theme="1"/>
      <name val="Gill Sans MT"/>
      <family val="2"/>
    </font>
    <font>
      <b/>
      <sz val="11"/>
      <color rgb="FFC00000"/>
      <name val="Calibri"/>
      <family val="2"/>
      <scheme val="minor"/>
    </font>
    <font>
      <sz val="11"/>
      <color rgb="FFC00000"/>
      <name val="Calibri"/>
      <family val="2"/>
      <scheme val="minor"/>
    </font>
    <font>
      <b/>
      <i/>
      <u/>
      <sz val="11"/>
      <color rgb="FFFF0000"/>
      <name val="Calibri"/>
      <family val="2"/>
      <scheme val="minor"/>
    </font>
    <font>
      <i/>
      <sz val="11"/>
      <color theme="1"/>
      <name val="Calibri"/>
      <family val="2"/>
      <scheme val="minor"/>
    </font>
    <font>
      <b/>
      <sz val="11"/>
      <color rgb="FFFF0000"/>
      <name val="Calibri"/>
      <family val="2"/>
      <scheme val="minor"/>
    </font>
    <font>
      <b/>
      <sz val="14"/>
      <name val="Calibri"/>
      <family val="2"/>
      <scheme val="minor"/>
    </font>
    <font>
      <sz val="22"/>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00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3" tint="0.39994506668294322"/>
      </bottom>
      <diagonal/>
    </border>
    <border>
      <left style="medium">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Border="0"/>
    <xf numFmtId="0" fontId="8" fillId="0" borderId="0"/>
    <xf numFmtId="0" fontId="6" fillId="0" borderId="0" applyBorder="0"/>
    <xf numFmtId="0" fontId="6" fillId="0" borderId="0" applyBorder="0"/>
    <xf numFmtId="43" fontId="12" fillId="0" borderId="0" applyFont="0" applyFill="0" applyBorder="0" applyAlignment="0" applyProtection="0"/>
    <xf numFmtId="167" fontId="1" fillId="0" borderId="0" applyFont="0" applyFill="0" applyBorder="0" applyAlignment="0" applyProtection="0"/>
    <xf numFmtId="44" fontId="8" fillId="0" borderId="0" applyFont="0" applyFill="0" applyBorder="0" applyAlignment="0" applyProtection="0"/>
    <xf numFmtId="168" fontId="1" fillId="0" borderId="0" applyFont="0" applyFill="0" applyBorder="0" applyAlignment="0" applyProtection="0"/>
    <xf numFmtId="0" fontId="12" fillId="0" borderId="0"/>
    <xf numFmtId="0" fontId="13" fillId="0" borderId="0"/>
    <xf numFmtId="0" fontId="6" fillId="0" borderId="0" applyBorder="0"/>
    <xf numFmtId="0" fontId="6" fillId="0" borderId="0" applyBorder="0"/>
    <xf numFmtId="9" fontId="13" fillId="0" borderId="0" applyFont="0" applyFill="0" applyBorder="0" applyAlignment="0" applyProtection="0"/>
    <xf numFmtId="0" fontId="8" fillId="0" borderId="0"/>
    <xf numFmtId="9" fontId="8" fillId="0" borderId="0" applyFont="0" applyFill="0" applyBorder="0" applyAlignment="0" applyProtection="0"/>
  </cellStyleXfs>
  <cellXfs count="502">
    <xf numFmtId="0" fontId="0" fillId="0" borderId="0" xfId="0"/>
    <xf numFmtId="0" fontId="9" fillId="0" borderId="0" xfId="7" applyFont="1"/>
    <xf numFmtId="0" fontId="0" fillId="6" borderId="6" xfId="0" applyFill="1" applyBorder="1"/>
    <xf numFmtId="0" fontId="0" fillId="2" borderId="7" xfId="0" applyFill="1" applyBorder="1"/>
    <xf numFmtId="0" fontId="9" fillId="5" borderId="18" xfId="7" applyNumberFormat="1" applyFont="1" applyFill="1" applyBorder="1" applyProtection="1">
      <protection locked="0"/>
    </xf>
    <xf numFmtId="165" fontId="9" fillId="0" borderId="18" xfId="1" applyNumberFormat="1" applyFont="1" applyFill="1" applyBorder="1" applyAlignment="1" applyProtection="1">
      <alignment horizontal="center"/>
    </xf>
    <xf numFmtId="3" fontId="9" fillId="6" borderId="18" xfId="7" applyNumberFormat="1" applyFont="1" applyFill="1" applyBorder="1" applyAlignment="1" applyProtection="1">
      <alignment horizontal="center"/>
      <protection locked="0"/>
    </xf>
    <xf numFmtId="166" fontId="9" fillId="2" borderId="0" xfId="7" applyNumberFormat="1" applyFont="1" applyFill="1" applyBorder="1" applyAlignment="1" applyProtection="1">
      <alignment horizontal="center"/>
      <protection locked="0"/>
    </xf>
    <xf numFmtId="166" fontId="9" fillId="0" borderId="0" xfId="7" applyNumberFormat="1" applyFont="1" applyFill="1" applyBorder="1" applyAlignment="1" applyProtection="1">
      <alignment horizontal="center"/>
      <protection locked="0"/>
    </xf>
    <xf numFmtId="0" fontId="0" fillId="5" borderId="18" xfId="0" applyFill="1" applyBorder="1"/>
    <xf numFmtId="0" fontId="9" fillId="0" borderId="18" xfId="16" applyFont="1" applyFill="1" applyBorder="1" applyProtection="1">
      <protection locked="0"/>
    </xf>
    <xf numFmtId="164" fontId="9" fillId="5" borderId="18" xfId="7" applyNumberFormat="1" applyFont="1" applyFill="1" applyBorder="1" applyAlignment="1" applyProtection="1">
      <alignment horizontal="center"/>
      <protection locked="0"/>
    </xf>
    <xf numFmtId="2" fontId="0" fillId="0" borderId="0" xfId="0" applyNumberFormat="1"/>
    <xf numFmtId="0" fontId="0" fillId="0" borderId="0" xfId="0" applyBorder="1"/>
    <xf numFmtId="0" fontId="3" fillId="8" borderId="37" xfId="0" applyFont="1" applyFill="1" applyBorder="1"/>
    <xf numFmtId="0" fontId="17" fillId="5" borderId="18" xfId="7" applyNumberFormat="1" applyFont="1" applyFill="1" applyBorder="1" applyProtection="1">
      <protection locked="0"/>
    </xf>
    <xf numFmtId="0" fontId="0" fillId="0" borderId="0" xfId="0" applyAlignment="1">
      <alignment horizontal="center"/>
    </xf>
    <xf numFmtId="0" fontId="19" fillId="0" borderId="0" xfId="0" applyFont="1" applyBorder="1"/>
    <xf numFmtId="0" fontId="20" fillId="0" borderId="0" xfId="0" applyFont="1" applyProtection="1"/>
    <xf numFmtId="0" fontId="19" fillId="0" borderId="0" xfId="0" applyFont="1" applyFill="1" applyProtection="1"/>
    <xf numFmtId="0" fontId="9" fillId="0" borderId="18" xfId="0" applyFont="1" applyFill="1" applyBorder="1" applyAlignment="1" applyProtection="1">
      <alignment horizontal="right"/>
      <protection locked="0"/>
    </xf>
    <xf numFmtId="0" fontId="9" fillId="0" borderId="0" xfId="0" applyFont="1" applyBorder="1" applyProtection="1"/>
    <xf numFmtId="0" fontId="9" fillId="0" borderId="0" xfId="0" applyFont="1" applyProtection="1"/>
    <xf numFmtId="0" fontId="0" fillId="0" borderId="0" xfId="0" applyFont="1" applyAlignment="1" applyProtection="1">
      <alignment horizontal="center"/>
    </xf>
    <xf numFmtId="174" fontId="9" fillId="0" borderId="18" xfId="0" quotePrefix="1" applyNumberFormat="1" applyFont="1" applyBorder="1" applyAlignment="1" applyProtection="1">
      <alignment horizontal="left"/>
    </xf>
    <xf numFmtId="0" fontId="7" fillId="0" borderId="0" xfId="0" applyFont="1" applyBorder="1"/>
    <xf numFmtId="0" fontId="0" fillId="0" borderId="0" xfId="0" applyFont="1" applyProtection="1"/>
    <xf numFmtId="0" fontId="9" fillId="0" borderId="0" xfId="8" applyFont="1" applyFill="1" applyBorder="1" applyAlignment="1" applyProtection="1">
      <alignment horizontal="left"/>
    </xf>
    <xf numFmtId="0" fontId="19" fillId="0" borderId="0" xfId="0" applyFont="1" applyFill="1" applyBorder="1"/>
    <xf numFmtId="0" fontId="20" fillId="0" borderId="0" xfId="0" applyFont="1" applyFill="1" applyProtection="1"/>
    <xf numFmtId="0" fontId="0" fillId="0" borderId="0" xfId="0" applyFill="1"/>
    <xf numFmtId="0" fontId="18" fillId="0" borderId="5" xfId="5" applyFont="1" applyFill="1" applyBorder="1" applyAlignment="1" applyProtection="1">
      <alignment horizontal="left" vertical="center"/>
    </xf>
    <xf numFmtId="0" fontId="0" fillId="5" borderId="36" xfId="0" applyFill="1" applyBorder="1"/>
    <xf numFmtId="0" fontId="9" fillId="5" borderId="18" xfId="0" applyFont="1" applyFill="1" applyBorder="1" applyAlignment="1" applyProtection="1">
      <alignment horizontal="right"/>
      <protection locked="0"/>
    </xf>
    <xf numFmtId="0" fontId="9" fillId="0" borderId="18" xfId="0" applyFont="1" applyFill="1" applyBorder="1" applyAlignment="1" applyProtection="1">
      <alignment horizontal="center"/>
    </xf>
    <xf numFmtId="0" fontId="9" fillId="8" borderId="18" xfId="0" applyFont="1" applyFill="1" applyBorder="1" applyProtection="1"/>
    <xf numFmtId="0" fontId="0" fillId="8" borderId="18" xfId="0" applyFill="1" applyBorder="1"/>
    <xf numFmtId="0" fontId="0" fillId="5" borderId="16" xfId="0" applyFill="1" applyBorder="1"/>
    <xf numFmtId="0" fontId="0" fillId="5" borderId="19" xfId="0" applyFill="1" applyBorder="1"/>
    <xf numFmtId="0" fontId="0" fillId="5" borderId="20" xfId="0" applyFill="1" applyBorder="1"/>
    <xf numFmtId="165" fontId="0" fillId="0" borderId="0" xfId="1" applyNumberFormat="1" applyFont="1"/>
    <xf numFmtId="0" fontId="0" fillId="0" borderId="32" xfId="0" applyBorder="1"/>
    <xf numFmtId="0" fontId="0" fillId="0" borderId="0" xfId="0" applyFill="1" applyBorder="1"/>
    <xf numFmtId="165" fontId="9" fillId="0" borderId="30" xfId="1" applyNumberFormat="1" applyFont="1" applyFill="1" applyBorder="1" applyAlignment="1" applyProtection="1">
      <alignment horizontal="center"/>
      <protection locked="0"/>
    </xf>
    <xf numFmtId="165" fontId="9" fillId="0" borderId="29" xfId="1" applyNumberFormat="1" applyFont="1" applyFill="1" applyBorder="1" applyAlignment="1" applyProtection="1">
      <alignment horizontal="center"/>
      <protection locked="0"/>
    </xf>
    <xf numFmtId="165" fontId="9" fillId="0" borderId="23" xfId="1" applyNumberFormat="1" applyFont="1" applyFill="1" applyBorder="1" applyAlignment="1" applyProtection="1">
      <alignment horizontal="center"/>
      <protection locked="0"/>
    </xf>
    <xf numFmtId="165" fontId="9" fillId="0" borderId="18" xfId="1" applyNumberFormat="1" applyFont="1" applyFill="1" applyBorder="1" applyAlignment="1" applyProtection="1">
      <alignment horizontal="center"/>
      <protection locked="0"/>
    </xf>
    <xf numFmtId="0" fontId="21" fillId="0" borderId="0" xfId="0" applyFont="1" applyFill="1" applyAlignment="1">
      <alignment horizontal="center" vertical="center"/>
    </xf>
    <xf numFmtId="0" fontId="0" fillId="0" borderId="0" xfId="0" applyAlignment="1">
      <alignment wrapText="1"/>
    </xf>
    <xf numFmtId="0" fontId="0" fillId="0" borderId="32" xfId="0" applyFill="1" applyBorder="1"/>
    <xf numFmtId="2" fontId="9" fillId="0" borderId="0" xfId="7" applyNumberFormat="1" applyFont="1" applyFill="1" applyBorder="1"/>
    <xf numFmtId="2" fontId="9" fillId="0" borderId="0" xfId="7" applyNumberFormat="1" applyFont="1" applyFill="1" applyBorder="1" applyAlignment="1">
      <alignment horizontal="right"/>
    </xf>
    <xf numFmtId="0" fontId="9" fillId="0" borderId="0" xfId="7" applyFont="1" applyFill="1" applyBorder="1"/>
    <xf numFmtId="0" fontId="9" fillId="5" borderId="28" xfId="7" applyNumberFormat="1" applyFont="1" applyFill="1" applyBorder="1" applyProtection="1">
      <protection locked="0"/>
    </xf>
    <xf numFmtId="3" fontId="9" fillId="6" borderId="28" xfId="7" applyNumberFormat="1" applyFont="1" applyFill="1" applyBorder="1" applyAlignment="1" applyProtection="1">
      <alignment horizontal="center"/>
      <protection locked="0"/>
    </xf>
    <xf numFmtId="0" fontId="9" fillId="0" borderId="0" xfId="16" applyFont="1" applyFill="1" applyBorder="1" applyProtection="1">
      <protection locked="0"/>
    </xf>
    <xf numFmtId="164" fontId="9" fillId="0" borderId="0" xfId="7" applyNumberFormat="1" applyFont="1" applyFill="1" applyBorder="1" applyAlignment="1" applyProtection="1">
      <alignment horizontal="center"/>
      <protection locked="0"/>
    </xf>
    <xf numFmtId="43" fontId="9" fillId="5" borderId="18" xfId="1" applyFont="1" applyFill="1" applyBorder="1" applyAlignment="1" applyProtection="1">
      <alignment horizontal="center"/>
      <protection locked="0"/>
    </xf>
    <xf numFmtId="43" fontId="9" fillId="0" borderId="28" xfId="1" applyFont="1" applyFill="1" applyBorder="1" applyAlignment="1" applyProtection="1">
      <alignment horizontal="right"/>
    </xf>
    <xf numFmtId="43" fontId="9" fillId="0" borderId="18" xfId="1" applyFont="1" applyFill="1" applyBorder="1" applyAlignment="1" applyProtection="1">
      <alignment horizontal="right"/>
    </xf>
    <xf numFmtId="43" fontId="9" fillId="2" borderId="18" xfId="1" applyFont="1" applyFill="1" applyBorder="1" applyAlignment="1" applyProtection="1">
      <alignment horizontal="right"/>
    </xf>
    <xf numFmtId="175" fontId="9" fillId="5" borderId="18" xfId="0" applyNumberFormat="1" applyFont="1" applyFill="1" applyBorder="1" applyAlignment="1" applyProtection="1">
      <alignment horizontal="center"/>
    </xf>
    <xf numFmtId="0" fontId="9" fillId="5" borderId="18" xfId="16" applyFont="1" applyFill="1" applyBorder="1" applyProtection="1">
      <protection locked="0"/>
    </xf>
    <xf numFmtId="0" fontId="0" fillId="8" borderId="18" xfId="0" applyFill="1" applyBorder="1" applyAlignment="1">
      <alignment horizontal="left"/>
    </xf>
    <xf numFmtId="0" fontId="0" fillId="8" borderId="18" xfId="0" applyFill="1" applyBorder="1" applyAlignment="1">
      <alignment horizontal="center" wrapText="1"/>
    </xf>
    <xf numFmtId="0" fontId="9" fillId="9" borderId="0" xfId="7" applyFont="1" applyFill="1"/>
    <xf numFmtId="0" fontId="0" fillId="0" borderId="5"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9" borderId="18" xfId="16" applyFont="1" applyFill="1" applyBorder="1" applyAlignment="1" applyProtection="1">
      <alignment horizontal="right"/>
      <protection locked="0"/>
    </xf>
    <xf numFmtId="2" fontId="0" fillId="0" borderId="0" xfId="0" applyNumberFormat="1" applyFill="1" applyBorder="1"/>
    <xf numFmtId="0" fontId="27" fillId="0" borderId="0" xfId="0" applyFont="1"/>
    <xf numFmtId="0" fontId="21" fillId="0" borderId="0" xfId="0" applyFont="1" applyFill="1" applyAlignment="1">
      <alignment vertical="center"/>
    </xf>
    <xf numFmtId="164" fontId="9" fillId="0" borderId="34" xfId="7" applyNumberFormat="1" applyFont="1" applyFill="1" applyBorder="1" applyAlignment="1" applyProtection="1">
      <alignment horizontal="center"/>
      <protection locked="0"/>
    </xf>
    <xf numFmtId="43" fontId="9" fillId="0" borderId="34" xfId="1" applyFont="1" applyFill="1" applyBorder="1" applyAlignment="1" applyProtection="1">
      <alignment horizontal="center"/>
      <protection locked="0"/>
    </xf>
    <xf numFmtId="0" fontId="0" fillId="10" borderId="0" xfId="0" applyFill="1"/>
    <xf numFmtId="44" fontId="0" fillId="0" borderId="0" xfId="2" applyFont="1"/>
    <xf numFmtId="0" fontId="0" fillId="0" borderId="32" xfId="0" applyBorder="1" applyAlignment="1">
      <alignment horizontal="center" wrapText="1"/>
    </xf>
    <xf numFmtId="0" fontId="0" fillId="0" borderId="32" xfId="0" applyFill="1" applyBorder="1" applyAlignment="1">
      <alignment horizontal="center"/>
    </xf>
    <xf numFmtId="44" fontId="0" fillId="0" borderId="65" xfId="2" applyFont="1" applyBorder="1"/>
    <xf numFmtId="44" fontId="0" fillId="0" borderId="66" xfId="2" applyFont="1" applyBorder="1"/>
    <xf numFmtId="0" fontId="0" fillId="0" borderId="0" xfId="0"/>
    <xf numFmtId="0" fontId="0" fillId="0" borderId="0" xfId="0"/>
    <xf numFmtId="0" fontId="0" fillId="0" borderId="0" xfId="0"/>
    <xf numFmtId="0" fontId="0" fillId="0" borderId="0" xfId="0"/>
    <xf numFmtId="0" fontId="0" fillId="0" borderId="0" xfId="0"/>
    <xf numFmtId="0" fontId="9" fillId="5" borderId="44" xfId="16" applyFont="1" applyFill="1" applyBorder="1" applyProtection="1">
      <protection locked="0"/>
    </xf>
    <xf numFmtId="0" fontId="9" fillId="5" borderId="43" xfId="16" applyFont="1" applyFill="1" applyBorder="1" applyProtection="1">
      <protection locked="0"/>
    </xf>
    <xf numFmtId="0" fontId="9" fillId="0" borderId="0" xfId="0" applyFont="1"/>
    <xf numFmtId="0" fontId="9" fillId="0" borderId="5" xfId="0" applyFont="1" applyBorder="1"/>
    <xf numFmtId="0" fontId="0" fillId="5" borderId="18" xfId="0" quotePrefix="1" applyNumberFormat="1" applyFont="1" applyFill="1" applyBorder="1" applyAlignment="1" applyProtection="1">
      <alignment horizontal="right"/>
    </xf>
    <xf numFmtId="0" fontId="0" fillId="6" borderId="18" xfId="0" applyFill="1" applyBorder="1"/>
    <xf numFmtId="43" fontId="9" fillId="0" borderId="28" xfId="1" applyFont="1" applyFill="1" applyBorder="1" applyAlignment="1" applyProtection="1"/>
    <xf numFmtId="43" fontId="9" fillId="0" borderId="18" xfId="1" applyNumberFormat="1" applyFont="1" applyFill="1" applyBorder="1" applyAlignment="1" applyProtection="1">
      <alignment horizontal="center"/>
    </xf>
    <xf numFmtId="2" fontId="9" fillId="0" borderId="28" xfId="1" applyNumberFormat="1" applyFont="1" applyBorder="1" applyAlignment="1" applyProtection="1">
      <alignment horizontal="right"/>
    </xf>
    <xf numFmtId="2" fontId="9" fillId="0" borderId="18" xfId="1" applyNumberFormat="1" applyFont="1" applyBorder="1" applyAlignment="1" applyProtection="1">
      <alignment horizontal="right"/>
    </xf>
    <xf numFmtId="2" fontId="9" fillId="2" borderId="18" xfId="7" applyNumberFormat="1" applyFont="1" applyFill="1" applyBorder="1" applyAlignment="1" applyProtection="1">
      <alignment horizontal="right"/>
    </xf>
    <xf numFmtId="43" fontId="9" fillId="0" borderId="18" xfId="1" applyNumberFormat="1" applyFont="1" applyBorder="1" applyAlignment="1" applyProtection="1">
      <alignment horizontal="center"/>
    </xf>
    <xf numFmtId="2" fontId="9" fillId="2" borderId="47" xfId="7" applyNumberFormat="1" applyFont="1" applyFill="1" applyBorder="1" applyProtection="1"/>
    <xf numFmtId="2" fontId="9" fillId="2" borderId="23" xfId="7" applyNumberFormat="1" applyFont="1" applyFill="1" applyBorder="1" applyProtection="1"/>
    <xf numFmtId="2" fontId="9" fillId="2" borderId="27" xfId="7" applyNumberFormat="1" applyFont="1" applyFill="1" applyBorder="1" applyProtection="1"/>
    <xf numFmtId="2" fontId="9" fillId="0" borderId="18" xfId="7" applyNumberFormat="1" applyFont="1" applyBorder="1" applyProtection="1"/>
    <xf numFmtId="2" fontId="9" fillId="2" borderId="18" xfId="7" applyNumberFormat="1" applyFont="1" applyFill="1" applyBorder="1" applyProtection="1"/>
    <xf numFmtId="44" fontId="9" fillId="2" borderId="17" xfId="2" applyFont="1" applyFill="1" applyBorder="1" applyProtection="1"/>
    <xf numFmtId="44" fontId="9" fillId="2" borderId="18" xfId="2" applyFont="1" applyFill="1" applyBorder="1" applyProtection="1"/>
    <xf numFmtId="0" fontId="5" fillId="2" borderId="0" xfId="4" applyFont="1" applyFill="1" applyAlignment="1" applyProtection="1">
      <protection locked="0"/>
    </xf>
    <xf numFmtId="0" fontId="3" fillId="8" borderId="37" xfId="0" applyFont="1" applyFill="1" applyBorder="1" applyProtection="1">
      <protection locked="0"/>
    </xf>
    <xf numFmtId="0" fontId="7" fillId="0" borderId="4" xfId="5" applyFont="1" applyFill="1" applyBorder="1" applyAlignment="1" applyProtection="1">
      <alignment horizontal="left" vertical="center"/>
      <protection locked="0"/>
    </xf>
    <xf numFmtId="0" fontId="7" fillId="0" borderId="0" xfId="5" applyFont="1" applyFill="1" applyBorder="1" applyAlignment="1" applyProtection="1">
      <alignment horizontal="left" vertical="center"/>
      <protection locked="0"/>
    </xf>
    <xf numFmtId="0" fontId="9" fillId="2" borderId="0" xfId="6" applyFont="1" applyFill="1" applyBorder="1" applyProtection="1">
      <protection locked="0"/>
    </xf>
    <xf numFmtId="0" fontId="0" fillId="2" borderId="0" xfId="0" applyFill="1" applyBorder="1" applyProtection="1">
      <protection locked="0"/>
    </xf>
    <xf numFmtId="0" fontId="9" fillId="2" borderId="0" xfId="6" applyFont="1" applyFill="1" applyProtection="1">
      <protection locked="0"/>
    </xf>
    <xf numFmtId="0" fontId="9" fillId="2" borderId="0" xfId="7" applyFont="1" applyFill="1" applyProtection="1">
      <protection locked="0"/>
    </xf>
    <xf numFmtId="0" fontId="9" fillId="3" borderId="0" xfId="7" applyFont="1" applyFill="1" applyProtection="1">
      <protection locked="0"/>
    </xf>
    <xf numFmtId="0" fontId="9" fillId="4" borderId="0" xfId="7" applyFont="1" applyFill="1" applyProtection="1">
      <protection locked="0"/>
    </xf>
    <xf numFmtId="0" fontId="0" fillId="5" borderId="4" xfId="0" applyFill="1" applyBorder="1" applyProtection="1">
      <protection locked="0"/>
    </xf>
    <xf numFmtId="0" fontId="9" fillId="0" borderId="4" xfId="8" applyFont="1" applyFill="1" applyBorder="1" applyAlignment="1" applyProtection="1">
      <protection locked="0"/>
    </xf>
    <xf numFmtId="0" fontId="9" fillId="0" borderId="0" xfId="8" applyFont="1" applyFill="1" applyBorder="1" applyAlignment="1" applyProtection="1">
      <protection locked="0"/>
    </xf>
    <xf numFmtId="0" fontId="9" fillId="2" borderId="0" xfId="6" applyFont="1" applyFill="1" applyBorder="1" applyAlignment="1" applyProtection="1">
      <protection locked="0"/>
    </xf>
    <xf numFmtId="0" fontId="9" fillId="2" borderId="0" xfId="7" applyFont="1" applyFill="1" applyBorder="1" applyProtection="1">
      <protection locked="0"/>
    </xf>
    <xf numFmtId="0" fontId="9" fillId="0" borderId="0" xfId="7" applyFont="1" applyProtection="1">
      <protection locked="0"/>
    </xf>
    <xf numFmtId="0" fontId="0" fillId="6" borderId="4" xfId="0" applyFill="1" applyBorder="1" applyProtection="1">
      <protection locked="0"/>
    </xf>
    <xf numFmtId="0" fontId="0" fillId="2" borderId="42" xfId="0" applyFill="1" applyBorder="1" applyProtection="1">
      <protection locked="0"/>
    </xf>
    <xf numFmtId="0" fontId="9" fillId="2" borderId="0" xfId="8" applyFont="1" applyFill="1" applyBorder="1" applyAlignment="1" applyProtection="1">
      <protection locked="0"/>
    </xf>
    <xf numFmtId="0" fontId="7" fillId="0" borderId="0" xfId="7" applyFont="1" applyBorder="1" applyAlignment="1" applyProtection="1">
      <alignment horizontal="left"/>
      <protection locked="0"/>
    </xf>
    <xf numFmtId="164" fontId="9" fillId="2" borderId="0" xfId="7" applyNumberFormat="1" applyFont="1" applyFill="1" applyBorder="1" applyAlignment="1" applyProtection="1">
      <alignment horizontal="center"/>
      <protection locked="0"/>
    </xf>
    <xf numFmtId="0" fontId="0" fillId="2" borderId="7" xfId="0" applyFill="1" applyBorder="1" applyProtection="1">
      <protection locked="0"/>
    </xf>
    <xf numFmtId="0" fontId="9" fillId="0" borderId="10" xfId="7" applyNumberFormat="1" applyFont="1" applyBorder="1" applyProtection="1">
      <protection locked="0"/>
    </xf>
    <xf numFmtId="0" fontId="9" fillId="0" borderId="11" xfId="7" applyNumberFormat="1" applyFont="1" applyBorder="1" applyProtection="1">
      <protection locked="0"/>
    </xf>
    <xf numFmtId="164" fontId="9" fillId="2" borderId="11" xfId="7" applyNumberFormat="1" applyFont="1" applyFill="1" applyBorder="1" applyAlignment="1" applyProtection="1">
      <alignment horizontal="center"/>
      <protection locked="0"/>
    </xf>
    <xf numFmtId="0" fontId="9" fillId="0" borderId="12" xfId="7" applyFont="1" applyBorder="1" applyAlignment="1" applyProtection="1">
      <alignment horizontal="left"/>
      <protection locked="0"/>
    </xf>
    <xf numFmtId="0" fontId="9" fillId="0" borderId="13" xfId="7" applyFont="1" applyBorder="1" applyAlignment="1" applyProtection="1">
      <alignment horizontal="left"/>
      <protection locked="0"/>
    </xf>
    <xf numFmtId="164" fontId="9" fillId="2" borderId="13" xfId="7" applyNumberFormat="1" applyFont="1" applyFill="1" applyBorder="1" applyAlignment="1" applyProtection="1">
      <alignment horizontal="center"/>
      <protection locked="0"/>
    </xf>
    <xf numFmtId="0" fontId="9" fillId="0" borderId="12" xfId="6" applyFont="1" applyBorder="1" applyProtection="1">
      <protection locked="0"/>
    </xf>
    <xf numFmtId="0" fontId="9" fillId="0" borderId="13" xfId="6" applyFont="1" applyBorder="1" applyProtection="1">
      <protection locked="0"/>
    </xf>
    <xf numFmtId="0" fontId="9" fillId="0" borderId="14" xfId="7" applyFont="1" applyBorder="1" applyAlignment="1" applyProtection="1">
      <alignment horizontal="left"/>
      <protection locked="0"/>
    </xf>
    <xf numFmtId="0" fontId="9" fillId="0" borderId="15" xfId="7" applyFont="1" applyBorder="1" applyAlignment="1" applyProtection="1">
      <alignment horizontal="left"/>
      <protection locked="0"/>
    </xf>
    <xf numFmtId="164" fontId="9" fillId="2" borderId="15" xfId="7" applyNumberFormat="1" applyFont="1" applyFill="1" applyBorder="1" applyAlignment="1" applyProtection="1">
      <alignment horizontal="center"/>
      <protection locked="0"/>
    </xf>
    <xf numFmtId="0" fontId="9" fillId="0" borderId="0" xfId="7" applyFont="1" applyBorder="1" applyAlignment="1" applyProtection="1">
      <alignment horizontal="left"/>
      <protection locked="0"/>
    </xf>
    <xf numFmtId="0" fontId="7" fillId="8" borderId="48" xfId="7" applyFont="1" applyFill="1" applyBorder="1" applyAlignment="1" applyProtection="1">
      <alignment horizontal="center" vertical="center"/>
      <protection locked="0"/>
    </xf>
    <xf numFmtId="0" fontId="7" fillId="8" borderId="49" xfId="7" applyFont="1" applyFill="1" applyBorder="1" applyAlignment="1" applyProtection="1">
      <alignment horizontal="center" vertical="center"/>
      <protection locked="0"/>
    </xf>
    <xf numFmtId="0" fontId="7" fillId="8" borderId="50" xfId="7" applyFont="1" applyFill="1" applyBorder="1" applyAlignment="1" applyProtection="1">
      <alignment horizontal="center" vertical="center"/>
      <protection locked="0"/>
    </xf>
    <xf numFmtId="0" fontId="9" fillId="5" borderId="17" xfId="7" applyFont="1" applyFill="1" applyBorder="1" applyProtection="1">
      <protection locked="0"/>
    </xf>
    <xf numFmtId="0" fontId="9" fillId="7" borderId="17" xfId="7" applyFont="1" applyFill="1" applyBorder="1" applyAlignment="1" applyProtection="1">
      <alignment horizontal="center"/>
      <protection locked="0"/>
    </xf>
    <xf numFmtId="0" fontId="9" fillId="5" borderId="18" xfId="7" applyFont="1" applyFill="1" applyBorder="1" applyProtection="1">
      <protection locked="0"/>
    </xf>
    <xf numFmtId="0" fontId="17" fillId="5" borderId="18" xfId="7" applyFont="1" applyFill="1" applyBorder="1" applyProtection="1">
      <protection locked="0"/>
    </xf>
    <xf numFmtId="0" fontId="7" fillId="7" borderId="0" xfId="7" applyFont="1" applyFill="1" applyBorder="1" applyAlignment="1" applyProtection="1">
      <alignment horizontal="centerContinuous"/>
      <protection locked="0"/>
    </xf>
    <xf numFmtId="0" fontId="7" fillId="0" borderId="0" xfId="7" applyFont="1" applyFill="1" applyBorder="1" applyAlignment="1" applyProtection="1">
      <alignment horizontal="centerContinuous"/>
      <protection locked="0"/>
    </xf>
    <xf numFmtId="0" fontId="9" fillId="2" borderId="0" xfId="7" applyFont="1" applyFill="1" applyAlignment="1" applyProtection="1">
      <alignment horizontal="center" vertical="center"/>
      <protection locked="0"/>
    </xf>
    <xf numFmtId="0" fontId="7" fillId="8" borderId="48" xfId="7" applyNumberFormat="1" applyFont="1" applyFill="1" applyBorder="1" applyAlignment="1" applyProtection="1">
      <alignment horizontal="center" vertical="center"/>
      <protection locked="0"/>
    </xf>
    <xf numFmtId="0" fontId="7" fillId="8" borderId="49" xfId="7" applyNumberFormat="1" applyFont="1" applyFill="1" applyBorder="1" applyAlignment="1" applyProtection="1">
      <alignment horizontal="center" vertical="center" wrapText="1"/>
      <protection locked="0"/>
    </xf>
    <xf numFmtId="0" fontId="7" fillId="8" borderId="49" xfId="7" applyNumberFormat="1" applyFont="1" applyFill="1" applyBorder="1" applyAlignment="1" applyProtection="1">
      <alignment horizontal="center" vertical="center"/>
      <protection locked="0"/>
    </xf>
    <xf numFmtId="7" fontId="7" fillId="8" borderId="49" xfId="7" applyNumberFormat="1" applyFont="1" applyFill="1" applyBorder="1" applyAlignment="1" applyProtection="1">
      <alignment horizontal="center" vertical="center" wrapText="1"/>
      <protection locked="0"/>
    </xf>
    <xf numFmtId="3" fontId="7" fillId="8" borderId="49" xfId="7" applyNumberFormat="1" applyFont="1" applyFill="1" applyBorder="1" applyAlignment="1" applyProtection="1">
      <alignment horizontal="center" vertical="center" wrapText="1"/>
      <protection locked="0"/>
    </xf>
    <xf numFmtId="7" fontId="7" fillId="8" borderId="50" xfId="7" applyNumberFormat="1" applyFont="1" applyFill="1" applyBorder="1" applyAlignment="1" applyProtection="1">
      <alignment horizontal="center" vertical="center" wrapText="1"/>
      <protection locked="0"/>
    </xf>
    <xf numFmtId="0" fontId="9" fillId="0" borderId="0" xfId="7" applyFont="1" applyAlignment="1" applyProtection="1">
      <alignment horizontal="center" vertical="center"/>
      <protection locked="0"/>
    </xf>
    <xf numFmtId="43" fontId="9" fillId="5" borderId="17" xfId="1" applyFont="1" applyFill="1" applyBorder="1" applyProtection="1">
      <protection locked="0"/>
    </xf>
    <xf numFmtId="0" fontId="9" fillId="2" borderId="0" xfId="7" applyFont="1" applyFill="1" applyBorder="1" applyAlignment="1" applyProtection="1">
      <alignment horizontal="center" wrapText="1"/>
      <protection locked="0"/>
    </xf>
    <xf numFmtId="0" fontId="9" fillId="0" borderId="0" xfId="7" applyFont="1" applyFill="1" applyProtection="1">
      <protection locked="0"/>
    </xf>
    <xf numFmtId="43" fontId="9" fillId="5" borderId="18" xfId="1" applyFont="1" applyFill="1" applyBorder="1" applyProtection="1">
      <protection locked="0"/>
    </xf>
    <xf numFmtId="0" fontId="9" fillId="5" borderId="18" xfId="7" applyFont="1" applyFill="1" applyBorder="1" applyAlignment="1" applyProtection="1">
      <alignment horizontal="left"/>
      <protection locked="0"/>
    </xf>
    <xf numFmtId="3" fontId="9" fillId="6" borderId="20" xfId="7" applyNumberFormat="1" applyFont="1" applyFill="1" applyBorder="1" applyAlignment="1" applyProtection="1">
      <alignment horizontal="center"/>
      <protection locked="0"/>
    </xf>
    <xf numFmtId="0" fontId="9" fillId="0" borderId="0" xfId="7" applyNumberFormat="1" applyFont="1" applyFill="1" applyBorder="1" applyProtection="1">
      <protection locked="0"/>
    </xf>
    <xf numFmtId="0" fontId="9" fillId="2" borderId="0" xfId="7" applyNumberFormat="1" applyFont="1" applyFill="1" applyBorder="1" applyProtection="1">
      <protection locked="0"/>
    </xf>
    <xf numFmtId="0" fontId="7" fillId="0" borderId="0" xfId="7" applyFont="1" applyFill="1" applyBorder="1" applyAlignment="1" applyProtection="1">
      <alignment vertical="center"/>
      <protection locked="0"/>
    </xf>
    <xf numFmtId="0" fontId="7" fillId="0" borderId="0" xfId="7" applyFont="1" applyFill="1" applyBorder="1" applyAlignment="1" applyProtection="1">
      <alignment horizontal="center" vertical="center"/>
      <protection locked="0"/>
    </xf>
    <xf numFmtId="0" fontId="7" fillId="8" borderId="53" xfId="7" applyNumberFormat="1" applyFont="1" applyFill="1" applyBorder="1" applyAlignment="1" applyProtection="1">
      <alignment horizontal="center" vertical="center" wrapText="1"/>
      <protection locked="0"/>
    </xf>
    <xf numFmtId="0" fontId="7" fillId="8" borderId="50" xfId="7" applyNumberFormat="1" applyFont="1" applyFill="1" applyBorder="1" applyAlignment="1" applyProtection="1">
      <alignment horizontal="center" vertical="center" wrapText="1"/>
      <protection locked="0"/>
    </xf>
    <xf numFmtId="0" fontId="0" fillId="5" borderId="46" xfId="0" applyFill="1" applyBorder="1" applyAlignment="1" applyProtection="1">
      <alignment vertical="center" wrapText="1"/>
      <protection locked="0"/>
    </xf>
    <xf numFmtId="2" fontId="9" fillId="7" borderId="28" xfId="7" applyNumberFormat="1" applyFont="1" applyFill="1" applyBorder="1" applyProtection="1">
      <protection locked="0"/>
    </xf>
    <xf numFmtId="176" fontId="9" fillId="5" borderId="16" xfId="7" applyNumberFormat="1" applyFont="1" applyFill="1" applyBorder="1" applyAlignment="1" applyProtection="1">
      <alignment horizontal="right"/>
      <protection locked="0"/>
    </xf>
    <xf numFmtId="0" fontId="0" fillId="5" borderId="22" xfId="0" applyFill="1" applyBorder="1" applyAlignment="1" applyProtection="1">
      <alignment vertical="center" wrapText="1"/>
      <protection locked="0"/>
    </xf>
    <xf numFmtId="0" fontId="9" fillId="5" borderId="28" xfId="7" applyFont="1" applyFill="1" applyBorder="1" applyProtection="1">
      <protection locked="0"/>
    </xf>
    <xf numFmtId="176" fontId="9" fillId="5" borderId="35" xfId="7" applyNumberFormat="1" applyFont="1" applyFill="1" applyBorder="1" applyAlignment="1" applyProtection="1">
      <alignment horizontal="right"/>
      <protection locked="0"/>
    </xf>
    <xf numFmtId="0" fontId="7" fillId="2" borderId="0" xfId="7" applyFont="1" applyFill="1" applyBorder="1" applyAlignment="1" applyProtection="1">
      <alignment horizontal="centerContinuous"/>
      <protection locked="0"/>
    </xf>
    <xf numFmtId="0" fontId="0" fillId="5" borderId="46" xfId="0" applyFill="1" applyBorder="1" applyAlignment="1" applyProtection="1">
      <alignment vertical="center"/>
      <protection locked="0"/>
    </xf>
    <xf numFmtId="0" fontId="0" fillId="5" borderId="22" xfId="0" applyFill="1" applyBorder="1" applyAlignment="1" applyProtection="1">
      <alignment vertical="center"/>
      <protection locked="0"/>
    </xf>
    <xf numFmtId="0" fontId="0" fillId="5" borderId="22" xfId="0"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protection locked="0"/>
    </xf>
    <xf numFmtId="0" fontId="9" fillId="5" borderId="22"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9" fillId="5" borderId="18" xfId="7" applyFont="1" applyFill="1" applyBorder="1" applyAlignment="1" applyProtection="1">
      <alignment horizontal="right"/>
      <protection locked="0"/>
    </xf>
    <xf numFmtId="0" fontId="11" fillId="5" borderId="22" xfId="0" applyFont="1" applyFill="1" applyBorder="1" applyAlignment="1" applyProtection="1">
      <alignment vertical="center"/>
      <protection locked="0"/>
    </xf>
    <xf numFmtId="0" fontId="9" fillId="5" borderId="22" xfId="7" applyFont="1" applyFill="1" applyBorder="1" applyProtection="1">
      <protection locked="0"/>
    </xf>
    <xf numFmtId="0" fontId="9" fillId="5" borderId="24" xfId="7" applyFont="1" applyFill="1" applyBorder="1" applyProtection="1">
      <protection locked="0"/>
    </xf>
    <xf numFmtId="0" fontId="9" fillId="5" borderId="25" xfId="7" applyFont="1" applyFill="1" applyBorder="1" applyProtection="1">
      <protection locked="0"/>
    </xf>
    <xf numFmtId="176" fontId="9" fillId="5" borderId="33" xfId="7" applyNumberFormat="1" applyFont="1" applyFill="1" applyBorder="1" applyAlignment="1" applyProtection="1">
      <alignment horizontal="right"/>
      <protection locked="0"/>
    </xf>
    <xf numFmtId="0" fontId="0" fillId="5" borderId="22" xfId="0" applyFill="1" applyBorder="1" applyProtection="1">
      <protection locked="0"/>
    </xf>
    <xf numFmtId="0" fontId="0" fillId="5" borderId="24" xfId="0" applyFill="1" applyBorder="1" applyProtection="1">
      <protection locked="0"/>
    </xf>
    <xf numFmtId="0" fontId="17" fillId="5" borderId="22" xfId="7" applyFont="1" applyFill="1" applyBorder="1" applyProtection="1">
      <protection locked="0"/>
    </xf>
    <xf numFmtId="176" fontId="9" fillId="5" borderId="18" xfId="7" applyNumberFormat="1" applyFont="1" applyFill="1" applyBorder="1" applyAlignment="1" applyProtection="1">
      <alignment horizontal="right"/>
      <protection locked="0"/>
    </xf>
    <xf numFmtId="0" fontId="7" fillId="8" borderId="37" xfId="7" applyFont="1" applyFill="1" applyBorder="1" applyAlignment="1" applyProtection="1">
      <alignment horizontal="center" wrapText="1"/>
      <protection locked="0"/>
    </xf>
    <xf numFmtId="0" fontId="7" fillId="8" borderId="37" xfId="7" applyFont="1" applyFill="1" applyBorder="1" applyAlignment="1" applyProtection="1">
      <alignment horizontal="center"/>
      <protection locked="0"/>
    </xf>
    <xf numFmtId="0" fontId="7" fillId="2" borderId="0" xfId="7" applyFont="1" applyFill="1" applyBorder="1" applyAlignment="1" applyProtection="1">
      <protection locked="0"/>
    </xf>
    <xf numFmtId="0" fontId="0" fillId="5" borderId="46" xfId="0" applyFont="1" applyFill="1" applyBorder="1" applyAlignment="1" applyProtection="1">
      <alignment horizontal="left" vertical="center"/>
      <protection locked="0"/>
    </xf>
    <xf numFmtId="43" fontId="9" fillId="7" borderId="28" xfId="1" applyFont="1" applyFill="1" applyBorder="1" applyProtection="1">
      <protection locked="0"/>
    </xf>
    <xf numFmtId="0" fontId="9" fillId="7" borderId="35" xfId="7" applyFont="1" applyFill="1" applyBorder="1" applyProtection="1">
      <protection locked="0"/>
    </xf>
    <xf numFmtId="9" fontId="0" fillId="5" borderId="17" xfId="3" applyFont="1" applyFill="1" applyBorder="1" applyProtection="1">
      <protection locked="0"/>
    </xf>
    <xf numFmtId="43" fontId="9" fillId="7" borderId="18" xfId="1" applyFont="1" applyFill="1" applyBorder="1" applyProtection="1">
      <protection locked="0"/>
    </xf>
    <xf numFmtId="0" fontId="9" fillId="7" borderId="16" xfId="7" applyFont="1" applyFill="1" applyBorder="1" applyProtection="1">
      <protection locked="0"/>
    </xf>
    <xf numFmtId="9" fontId="0" fillId="5" borderId="18" xfId="3" applyFont="1" applyFill="1" applyBorder="1" applyProtection="1">
      <protection locked="0"/>
    </xf>
    <xf numFmtId="43" fontId="9" fillId="7" borderId="25" xfId="1" applyFont="1" applyFill="1" applyBorder="1" applyProtection="1">
      <protection locked="0"/>
    </xf>
    <xf numFmtId="43" fontId="0" fillId="7" borderId="18" xfId="1" applyFont="1" applyFill="1" applyBorder="1" applyAlignment="1" applyProtection="1">
      <protection locked="0"/>
    </xf>
    <xf numFmtId="2" fontId="9" fillId="7" borderId="18" xfId="7" applyNumberFormat="1" applyFont="1" applyFill="1" applyBorder="1" applyAlignment="1" applyProtection="1">
      <alignment horizontal="right"/>
      <protection locked="0"/>
    </xf>
    <xf numFmtId="1" fontId="9" fillId="7" borderId="16" xfId="7" applyNumberFormat="1" applyFont="1" applyFill="1" applyBorder="1" applyProtection="1">
      <protection locked="0"/>
    </xf>
    <xf numFmtId="9" fontId="7" fillId="5" borderId="18" xfId="3" applyFont="1" applyFill="1" applyBorder="1" applyAlignment="1" applyProtection="1">
      <alignment horizontal="centerContinuous"/>
      <protection locked="0"/>
    </xf>
    <xf numFmtId="0" fontId="9" fillId="0" borderId="0" xfId="7" applyFont="1" applyFill="1" applyBorder="1" applyProtection="1">
      <protection locked="0"/>
    </xf>
    <xf numFmtId="0" fontId="9" fillId="0" borderId="0" xfId="7" applyFont="1" applyFill="1" applyBorder="1" applyAlignment="1" applyProtection="1">
      <alignment horizontal="right"/>
      <protection locked="0"/>
    </xf>
    <xf numFmtId="1" fontId="9" fillId="0" borderId="0" xfId="7" applyNumberFormat="1" applyFont="1" applyFill="1" applyBorder="1" applyProtection="1">
      <protection locked="0"/>
    </xf>
    <xf numFmtId="0" fontId="9" fillId="9" borderId="0" xfId="7" applyFont="1" applyFill="1" applyProtection="1">
      <protection locked="0"/>
    </xf>
    <xf numFmtId="0" fontId="9" fillId="2" borderId="0" xfId="8" applyFont="1" applyFill="1" applyBorder="1" applyAlignment="1" applyProtection="1">
      <alignment horizontal="left"/>
      <protection locked="0"/>
    </xf>
    <xf numFmtId="0" fontId="9" fillId="2" borderId="0" xfId="6" applyFont="1" applyFill="1" applyBorder="1" applyAlignment="1" applyProtection="1">
      <alignment horizontal="left"/>
      <protection locked="0"/>
    </xf>
    <xf numFmtId="0" fontId="3" fillId="8" borderId="22" xfId="0" applyFont="1" applyFill="1" applyBorder="1" applyAlignment="1" applyProtection="1">
      <alignment horizontal="center" vertical="center"/>
      <protection locked="0"/>
    </xf>
    <xf numFmtId="0" fontId="3" fillId="8" borderId="18" xfId="0" applyFont="1" applyFill="1" applyBorder="1" applyAlignment="1" applyProtection="1">
      <alignment horizontal="center" vertical="center"/>
      <protection locked="0"/>
    </xf>
    <xf numFmtId="0" fontId="7" fillId="8" borderId="18" xfId="8" applyFont="1" applyFill="1" applyBorder="1" applyAlignment="1" applyProtection="1">
      <alignment horizontal="center" vertical="center"/>
      <protection locked="0"/>
    </xf>
    <xf numFmtId="0" fontId="7" fillId="8" borderId="18" xfId="6" applyFont="1" applyFill="1" applyBorder="1" applyAlignment="1" applyProtection="1">
      <alignment horizontal="center" vertical="center"/>
      <protection locked="0"/>
    </xf>
    <xf numFmtId="0" fontId="7" fillId="8" borderId="16" xfId="6" applyFont="1" applyFill="1" applyBorder="1" applyAlignment="1" applyProtection="1">
      <alignment horizontal="center" vertical="center"/>
      <protection locked="0"/>
    </xf>
    <xf numFmtId="0" fontId="7" fillId="9" borderId="23" xfId="6" applyFont="1" applyFill="1" applyBorder="1" applyAlignment="1" applyProtection="1">
      <alignment horizontal="center" vertical="center"/>
      <protection locked="0"/>
    </xf>
    <xf numFmtId="0" fontId="0" fillId="0" borderId="22" xfId="0" applyFont="1" applyBorder="1" applyProtection="1">
      <protection locked="0"/>
    </xf>
    <xf numFmtId="0" fontId="9" fillId="2" borderId="0" xfId="6" applyFont="1" applyFill="1" applyAlignment="1" applyProtection="1">
      <alignment horizontal="left"/>
      <protection locked="0"/>
    </xf>
    <xf numFmtId="0" fontId="24" fillId="2" borderId="0" xfId="6" applyFont="1" applyFill="1" applyProtection="1">
      <protection locked="0"/>
    </xf>
    <xf numFmtId="7" fontId="25" fillId="2" borderId="0" xfId="7" applyNumberFormat="1" applyFont="1" applyFill="1" applyProtection="1">
      <protection locked="0"/>
    </xf>
    <xf numFmtId="0" fontId="25" fillId="2" borderId="0" xfId="7" applyFont="1" applyFill="1" applyAlignment="1" applyProtection="1">
      <alignment horizontal="center"/>
      <protection locked="0"/>
    </xf>
    <xf numFmtId="0" fontId="9" fillId="3" borderId="0" xfId="7" applyFont="1" applyFill="1" applyAlignment="1" applyProtection="1">
      <alignment vertical="center"/>
      <protection locked="0"/>
    </xf>
    <xf numFmtId="0" fontId="7" fillId="8" borderId="16" xfId="7" applyNumberFormat="1" applyFont="1" applyFill="1" applyBorder="1" applyAlignment="1" applyProtection="1">
      <alignment horizontal="center" vertical="center" wrapText="1"/>
      <protection locked="0"/>
    </xf>
    <xf numFmtId="0" fontId="7" fillId="8" borderId="18" xfId="15" applyFont="1" applyFill="1" applyBorder="1" applyAlignment="1" applyProtection="1">
      <alignment horizontal="center" vertical="center" wrapText="1"/>
      <protection locked="0"/>
    </xf>
    <xf numFmtId="0" fontId="9" fillId="3" borderId="0" xfId="7" applyFont="1" applyFill="1" applyBorder="1" applyAlignment="1" applyProtection="1">
      <alignment vertical="center"/>
      <protection locked="0"/>
    </xf>
    <xf numFmtId="0" fontId="9" fillId="0" borderId="0" xfId="7" applyFont="1" applyAlignment="1" applyProtection="1">
      <alignment vertical="center"/>
      <protection locked="0"/>
    </xf>
    <xf numFmtId="164" fontId="9" fillId="0" borderId="0" xfId="7" applyNumberFormat="1" applyFont="1" applyBorder="1" applyProtection="1">
      <protection locked="0"/>
    </xf>
    <xf numFmtId="170" fontId="9" fillId="0" borderId="0" xfId="7" applyNumberFormat="1" applyFont="1" applyBorder="1" applyAlignment="1" applyProtection="1">
      <alignment horizontal="center"/>
      <protection locked="0"/>
    </xf>
    <xf numFmtId="0" fontId="9" fillId="0" borderId="0" xfId="7" applyFont="1" applyBorder="1" applyProtection="1">
      <protection locked="0"/>
    </xf>
    <xf numFmtId="0" fontId="7" fillId="2" borderId="8" xfId="7" applyFont="1" applyFill="1" applyBorder="1" applyAlignment="1" applyProtection="1">
      <protection locked="0"/>
    </xf>
    <xf numFmtId="0" fontId="7" fillId="8" borderId="46" xfId="7" applyFont="1" applyFill="1" applyBorder="1" applyAlignment="1" applyProtection="1">
      <alignment horizontal="center" vertical="center" wrapText="1"/>
      <protection locked="0"/>
    </xf>
    <xf numFmtId="7" fontId="7" fillId="8" borderId="28" xfId="7" applyNumberFormat="1" applyFont="1" applyFill="1" applyBorder="1" applyAlignment="1" applyProtection="1">
      <alignment horizontal="center" vertical="center" wrapText="1"/>
      <protection locked="0"/>
    </xf>
    <xf numFmtId="0" fontId="9" fillId="5" borderId="22" xfId="7" applyFont="1" applyFill="1" applyBorder="1" applyAlignment="1" applyProtection="1">
      <alignment horizontal="left"/>
      <protection locked="0"/>
    </xf>
    <xf numFmtId="169" fontId="9" fillId="0" borderId="0" xfId="7" applyNumberFormat="1" applyFont="1" applyBorder="1" applyProtection="1">
      <protection locked="0"/>
    </xf>
    <xf numFmtId="0" fontId="9" fillId="0" borderId="22" xfId="7" applyFont="1" applyFill="1" applyBorder="1" applyAlignment="1" applyProtection="1">
      <alignment horizontal="left"/>
      <protection locked="0"/>
    </xf>
    <xf numFmtId="7" fontId="7" fillId="8" borderId="41" xfId="7" applyNumberFormat="1" applyFont="1" applyFill="1" applyBorder="1" applyAlignment="1" applyProtection="1">
      <alignment horizontal="center" vertical="center" wrapText="1"/>
      <protection locked="0"/>
    </xf>
    <xf numFmtId="0" fontId="9" fillId="5" borderId="21" xfId="7" applyFont="1" applyFill="1" applyBorder="1" applyProtection="1">
      <protection locked="0"/>
    </xf>
    <xf numFmtId="0" fontId="9" fillId="5" borderId="22" xfId="7" applyFont="1" applyFill="1" applyBorder="1" applyAlignment="1" applyProtection="1">
      <alignment wrapText="1"/>
      <protection locked="0"/>
    </xf>
    <xf numFmtId="0" fontId="9" fillId="0" borderId="21" xfId="7" applyFont="1" applyFill="1" applyBorder="1" applyProtection="1">
      <protection locked="0"/>
    </xf>
    <xf numFmtId="0" fontId="9" fillId="0" borderId="22" xfId="7" applyFont="1" applyFill="1" applyBorder="1" applyProtection="1">
      <protection locked="0"/>
    </xf>
    <xf numFmtId="0" fontId="9" fillId="0" borderId="22" xfId="7" applyFont="1" applyFill="1" applyBorder="1" applyAlignment="1" applyProtection="1">
      <alignment wrapText="1"/>
      <protection locked="0"/>
    </xf>
    <xf numFmtId="0" fontId="9" fillId="5" borderId="46" xfId="7" applyFont="1" applyFill="1" applyBorder="1" applyProtection="1">
      <protection locked="0"/>
    </xf>
    <xf numFmtId="0" fontId="7" fillId="0" borderId="18" xfId="15" applyFont="1" applyFill="1" applyBorder="1" applyAlignment="1" applyProtection="1">
      <alignment horizontal="center" vertical="center" wrapText="1"/>
      <protection locked="0"/>
    </xf>
    <xf numFmtId="7" fontId="7" fillId="2" borderId="28" xfId="7" applyNumberFormat="1" applyFont="1" applyFill="1" applyBorder="1" applyAlignment="1" applyProtection="1">
      <alignment horizontal="center" vertical="center" wrapText="1"/>
      <protection locked="0"/>
    </xf>
    <xf numFmtId="7" fontId="7" fillId="0" borderId="49" xfId="7" applyNumberFormat="1" applyFont="1" applyBorder="1" applyAlignment="1" applyProtection="1">
      <alignment horizontal="center" vertical="center" wrapText="1"/>
      <protection locked="0"/>
    </xf>
    <xf numFmtId="7" fontId="7" fillId="2" borderId="49" xfId="7" applyNumberFormat="1" applyFont="1" applyFill="1" applyBorder="1" applyAlignment="1" applyProtection="1">
      <alignment horizontal="center" vertical="center" wrapText="1"/>
      <protection locked="0"/>
    </xf>
    <xf numFmtId="0" fontId="24" fillId="2" borderId="0" xfId="6" applyFont="1" applyFill="1" applyAlignment="1" applyProtection="1">
      <protection locked="0"/>
    </xf>
    <xf numFmtId="0" fontId="24" fillId="0" borderId="0" xfId="7" applyFont="1" applyAlignment="1" applyProtection="1">
      <protection locked="0"/>
    </xf>
    <xf numFmtId="0" fontId="7" fillId="0" borderId="21" xfId="7" applyFont="1" applyFill="1" applyBorder="1" applyAlignment="1" applyProtection="1">
      <alignment horizontal="center" vertical="center"/>
      <protection locked="0"/>
    </xf>
    <xf numFmtId="7" fontId="7" fillId="0" borderId="17" xfId="7" applyNumberFormat="1" applyFont="1" applyBorder="1" applyAlignment="1" applyProtection="1">
      <alignment horizontal="center" vertical="center" wrapText="1"/>
      <protection locked="0"/>
    </xf>
    <xf numFmtId="7" fontId="7" fillId="0" borderId="64" xfId="7" applyNumberFormat="1" applyFont="1" applyBorder="1" applyAlignment="1" applyProtection="1">
      <alignment horizontal="center" vertical="center" wrapText="1"/>
      <protection locked="0"/>
    </xf>
    <xf numFmtId="2" fontId="9" fillId="0" borderId="64" xfId="7" applyNumberFormat="1" applyFont="1" applyFill="1" applyBorder="1" applyProtection="1">
      <protection locked="0"/>
    </xf>
    <xf numFmtId="0" fontId="7" fillId="0" borderId="46" xfId="7" applyFont="1" applyFill="1" applyBorder="1" applyAlignment="1" applyProtection="1">
      <alignment horizontal="center" vertical="center"/>
      <protection locked="0"/>
    </xf>
    <xf numFmtId="0" fontId="7" fillId="0" borderId="18" xfId="7" applyFont="1" applyFill="1" applyBorder="1" applyAlignment="1" applyProtection="1">
      <alignment horizontal="center" vertical="center"/>
      <protection locked="0"/>
    </xf>
    <xf numFmtId="3" fontId="9" fillId="5" borderId="18" xfId="7" applyNumberFormat="1" applyFont="1" applyFill="1" applyBorder="1" applyProtection="1">
      <protection locked="0"/>
    </xf>
    <xf numFmtId="44" fontId="9" fillId="0" borderId="0" xfId="7" applyNumberFormat="1" applyFont="1" applyProtection="1">
      <protection locked="0"/>
    </xf>
    <xf numFmtId="2" fontId="9" fillId="5" borderId="18" xfId="7" applyNumberFormat="1" applyFont="1" applyFill="1" applyBorder="1" applyProtection="1">
      <protection locked="0"/>
    </xf>
    <xf numFmtId="0" fontId="0" fillId="0" borderId="0" xfId="0" applyFont="1" applyBorder="1" applyProtection="1">
      <protection locked="0"/>
    </xf>
    <xf numFmtId="44" fontId="1" fillId="0" borderId="0" xfId="2" applyFont="1" applyFill="1" applyBorder="1" applyProtection="1">
      <protection locked="0"/>
    </xf>
    <xf numFmtId="169" fontId="9" fillId="0" borderId="0" xfId="8" applyNumberFormat="1" applyFont="1" applyFill="1" applyBorder="1" applyAlignment="1" applyProtection="1">
      <alignment horizontal="left"/>
      <protection locked="0"/>
    </xf>
    <xf numFmtId="44" fontId="9" fillId="0" borderId="0" xfId="2" applyFont="1" applyFill="1" applyBorder="1" applyAlignment="1" applyProtection="1">
      <alignment horizontal="left"/>
      <protection locked="0"/>
    </xf>
    <xf numFmtId="0" fontId="9" fillId="0" borderId="0" xfId="6" applyFont="1" applyFill="1" applyBorder="1" applyAlignment="1" applyProtection="1">
      <alignment horizontal="left"/>
      <protection locked="0"/>
    </xf>
    <xf numFmtId="44" fontId="9" fillId="2" borderId="0" xfId="6" applyNumberFormat="1" applyFont="1" applyFill="1" applyBorder="1" applyProtection="1">
      <protection locked="0"/>
    </xf>
    <xf numFmtId="7" fontId="7" fillId="2" borderId="17" xfId="7" applyNumberFormat="1" applyFont="1" applyFill="1" applyBorder="1" applyAlignment="1" applyProtection="1">
      <alignment horizontal="center" vertical="center" wrapText="1"/>
      <protection locked="0"/>
    </xf>
    <xf numFmtId="7" fontId="7" fillId="0" borderId="0" xfId="7" applyNumberFormat="1" applyFont="1" applyFill="1" applyBorder="1" applyAlignment="1" applyProtection="1">
      <alignment horizontal="center" vertical="center" wrapText="1"/>
      <protection locked="0"/>
    </xf>
    <xf numFmtId="177" fontId="9" fillId="5" borderId="18" xfId="7" applyNumberFormat="1" applyFont="1" applyFill="1" applyBorder="1" applyProtection="1">
      <protection locked="0"/>
    </xf>
    <xf numFmtId="3" fontId="9" fillId="5" borderId="18" xfId="7" applyNumberFormat="1" applyFont="1" applyFill="1" applyBorder="1" applyAlignment="1" applyProtection="1">
      <alignment horizontal="center"/>
      <protection locked="0"/>
    </xf>
    <xf numFmtId="169" fontId="9" fillId="0" borderId="0" xfId="7" applyNumberFormat="1" applyFont="1" applyFill="1" applyBorder="1" applyProtection="1">
      <protection locked="0"/>
    </xf>
    <xf numFmtId="0" fontId="7" fillId="9" borderId="44" xfId="7" applyFont="1" applyFill="1" applyBorder="1" applyAlignment="1" applyProtection="1">
      <protection locked="0"/>
    </xf>
    <xf numFmtId="0" fontId="9" fillId="0" borderId="19" xfId="7" applyFont="1" applyFill="1" applyBorder="1" applyAlignment="1" applyProtection="1">
      <protection locked="0"/>
    </xf>
    <xf numFmtId="0" fontId="9" fillId="9" borderId="38" xfId="7" applyFont="1" applyFill="1" applyBorder="1" applyProtection="1">
      <protection locked="0"/>
    </xf>
    <xf numFmtId="0" fontId="3" fillId="9" borderId="41" xfId="0" applyFont="1" applyFill="1" applyBorder="1" applyAlignment="1" applyProtection="1">
      <alignment horizontal="center" vertical="center"/>
      <protection locked="0"/>
    </xf>
    <xf numFmtId="0" fontId="7" fillId="9" borderId="56" xfId="6" applyFont="1" applyFill="1" applyBorder="1" applyAlignment="1" applyProtection="1">
      <alignment horizontal="center" vertical="center"/>
      <protection locked="0"/>
    </xf>
    <xf numFmtId="0" fontId="3" fillId="8" borderId="20" xfId="0" applyFont="1" applyFill="1" applyBorder="1" applyAlignment="1" applyProtection="1">
      <alignment horizontal="center" vertical="center" wrapText="1"/>
      <protection locked="0"/>
    </xf>
    <xf numFmtId="0" fontId="3" fillId="8" borderId="18" xfId="0" applyFont="1" applyFill="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7" fillId="9" borderId="23" xfId="6" applyFont="1" applyFill="1" applyBorder="1" applyAlignment="1" applyProtection="1">
      <alignment horizontal="center" vertical="center" wrapText="1"/>
      <protection locked="0"/>
    </xf>
    <xf numFmtId="0" fontId="24" fillId="2" borderId="0" xfId="7" applyFont="1" applyFill="1" applyBorder="1" applyAlignment="1" applyProtection="1">
      <protection locked="0"/>
    </xf>
    <xf numFmtId="0" fontId="24" fillId="0" borderId="0" xfId="7" applyFont="1" applyFill="1" applyBorder="1" applyAlignment="1" applyProtection="1">
      <alignment horizontal="left"/>
      <protection locked="0"/>
    </xf>
    <xf numFmtId="0" fontId="7" fillId="0" borderId="53" xfId="7"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9" fillId="5" borderId="28" xfId="7" applyFont="1" applyFill="1" applyBorder="1" applyAlignment="1" applyProtection="1">
      <alignment horizontal="left"/>
      <protection locked="0"/>
    </xf>
    <xf numFmtId="172" fontId="9" fillId="5" borderId="28" xfId="7" applyNumberFormat="1" applyFont="1" applyFill="1" applyBorder="1" applyProtection="1">
      <protection locked="0"/>
    </xf>
    <xf numFmtId="3" fontId="9" fillId="5" borderId="28" xfId="7" applyNumberFormat="1" applyFont="1" applyFill="1" applyBorder="1" applyProtection="1">
      <protection locked="0"/>
    </xf>
    <xf numFmtId="4" fontId="9" fillId="5" borderId="18" xfId="7" applyNumberFormat="1" applyFont="1" applyFill="1" applyBorder="1" applyProtection="1">
      <protection locked="0"/>
    </xf>
    <xf numFmtId="4" fontId="9" fillId="5" borderId="18" xfId="7" applyNumberFormat="1" applyFont="1" applyFill="1" applyBorder="1" applyAlignment="1" applyProtection="1">
      <alignment horizontal="right"/>
      <protection locked="0"/>
    </xf>
    <xf numFmtId="0" fontId="24" fillId="0" borderId="0" xfId="7" applyFont="1" applyFill="1" applyBorder="1" applyAlignment="1" applyProtection="1">
      <alignment horizontal="left" vertical="center"/>
      <protection locked="0"/>
    </xf>
    <xf numFmtId="7" fontId="7" fillId="0" borderId="41" xfId="7" applyNumberFormat="1" applyFont="1" applyBorder="1" applyAlignment="1" applyProtection="1">
      <alignment horizontal="center" vertical="center" wrapText="1"/>
      <protection locked="0"/>
    </xf>
    <xf numFmtId="0" fontId="7" fillId="0" borderId="16" xfId="7" applyNumberFormat="1" applyFont="1" applyFill="1" applyBorder="1" applyAlignment="1" applyProtection="1">
      <alignment horizontal="center" vertical="center" wrapText="1"/>
      <protection locked="0"/>
    </xf>
    <xf numFmtId="0" fontId="7" fillId="9" borderId="18" xfId="15" applyFont="1" applyFill="1" applyBorder="1" applyAlignment="1" applyProtection="1">
      <alignment horizontal="center" vertical="center" wrapText="1"/>
      <protection locked="0"/>
    </xf>
    <xf numFmtId="0" fontId="7" fillId="9" borderId="18" xfId="7" applyFont="1" applyFill="1" applyBorder="1" applyAlignment="1" applyProtection="1">
      <alignment horizontal="center" vertical="center" wrapText="1"/>
      <protection locked="0"/>
    </xf>
    <xf numFmtId="43" fontId="9" fillId="3" borderId="0" xfId="7" applyNumberFormat="1" applyFont="1" applyFill="1" applyProtection="1">
      <protection locked="0"/>
    </xf>
    <xf numFmtId="180" fontId="7" fillId="0" borderId="0" xfId="7" applyNumberFormat="1" applyFont="1" applyFill="1" applyBorder="1" applyAlignment="1" applyProtection="1">
      <alignment vertical="center"/>
      <protection locked="0"/>
    </xf>
    <xf numFmtId="0" fontId="0" fillId="2" borderId="0" xfId="0" applyFill="1" applyProtection="1">
      <protection locked="0"/>
    </xf>
    <xf numFmtId="0" fontId="0" fillId="2" borderId="21" xfId="0" applyFill="1" applyBorder="1" applyProtection="1">
      <protection locked="0"/>
    </xf>
    <xf numFmtId="0" fontId="0" fillId="8" borderId="17" xfId="0" applyFill="1" applyBorder="1" applyProtection="1">
      <protection locked="0"/>
    </xf>
    <xf numFmtId="0" fontId="0" fillId="2" borderId="46" xfId="0" applyFill="1" applyBorder="1" applyProtection="1">
      <protection locked="0"/>
    </xf>
    <xf numFmtId="0" fontId="0" fillId="0" borderId="22" xfId="0" applyBorder="1" applyAlignment="1" applyProtection="1">
      <alignment horizontal="left"/>
      <protection locked="0"/>
    </xf>
    <xf numFmtId="0" fontId="0" fillId="0" borderId="22" xfId="0" applyBorder="1" applyAlignment="1" applyProtection="1">
      <protection locked="0"/>
    </xf>
    <xf numFmtId="0" fontId="3" fillId="0" borderId="31" xfId="0" applyFont="1" applyBorder="1" applyAlignment="1" applyProtection="1">
      <alignment horizontal="left"/>
      <protection locked="0"/>
    </xf>
    <xf numFmtId="0" fontId="0" fillId="2" borderId="0" xfId="0" applyFill="1" applyAlignment="1" applyProtection="1">
      <protection locked="0"/>
    </xf>
    <xf numFmtId="0" fontId="0" fillId="2" borderId="22" xfId="0" applyFill="1" applyBorder="1" applyAlignment="1" applyProtection="1">
      <alignment horizontal="left"/>
      <protection locked="0"/>
    </xf>
    <xf numFmtId="0" fontId="3" fillId="0" borderId="0" xfId="0" applyFont="1" applyFill="1" applyAlignment="1" applyProtection="1">
      <alignment horizontal="center"/>
      <protection locked="0"/>
    </xf>
    <xf numFmtId="0" fontId="3" fillId="0" borderId="0" xfId="0" applyFont="1" applyFill="1" applyAlignment="1" applyProtection="1">
      <protection locked="0"/>
    </xf>
    <xf numFmtId="0" fontId="0" fillId="0" borderId="0" xfId="0" applyFill="1" applyProtection="1">
      <protection locked="0"/>
    </xf>
    <xf numFmtId="0" fontId="28" fillId="2" borderId="37" xfId="0" applyFont="1" applyFill="1" applyBorder="1" applyProtection="1">
      <protection locked="0"/>
    </xf>
    <xf numFmtId="0" fontId="3" fillId="8" borderId="21" xfId="0" applyFont="1" applyFill="1" applyBorder="1" applyProtection="1">
      <protection locked="0"/>
    </xf>
    <xf numFmtId="0" fontId="0" fillId="2" borderId="17" xfId="0" applyFill="1" applyBorder="1" applyProtection="1">
      <protection locked="0"/>
    </xf>
    <xf numFmtId="0" fontId="0" fillId="2" borderId="26" xfId="0" applyFill="1" applyBorder="1" applyProtection="1">
      <protection locked="0"/>
    </xf>
    <xf numFmtId="0" fontId="0" fillId="2" borderId="22" xfId="0" applyFill="1" applyBorder="1" applyProtection="1">
      <protection locked="0"/>
    </xf>
    <xf numFmtId="0" fontId="0" fillId="8" borderId="18" xfId="0" applyFill="1" applyBorder="1" applyProtection="1">
      <protection locked="0"/>
    </xf>
    <xf numFmtId="0" fontId="0" fillId="8" borderId="23" xfId="0" applyFill="1" applyBorder="1" applyProtection="1">
      <protection locked="0"/>
    </xf>
    <xf numFmtId="0" fontId="0" fillId="2" borderId="31" xfId="0" applyFill="1" applyBorder="1" applyProtection="1">
      <protection locked="0"/>
    </xf>
    <xf numFmtId="43" fontId="0" fillId="0" borderId="0" xfId="1" applyNumberFormat="1" applyFont="1" applyFill="1" applyBorder="1" applyProtection="1">
      <protection locked="0"/>
    </xf>
    <xf numFmtId="43" fontId="0" fillId="2" borderId="0" xfId="1" applyNumberFormat="1" applyFont="1" applyFill="1" applyBorder="1" applyProtection="1">
      <protection locked="0"/>
    </xf>
    <xf numFmtId="43" fontId="0" fillId="2" borderId="0" xfId="0" applyNumberFormat="1" applyFill="1" applyBorder="1" applyProtection="1">
      <protection locked="0"/>
    </xf>
    <xf numFmtId="0" fontId="28" fillId="0" borderId="0" xfId="0" applyFont="1" applyFill="1" applyBorder="1" applyAlignment="1" applyProtection="1">
      <alignment horizontal="center"/>
      <protection locked="0"/>
    </xf>
    <xf numFmtId="0" fontId="0" fillId="0" borderId="22" xfId="0" applyBorder="1" applyProtection="1">
      <protection locked="0"/>
    </xf>
    <xf numFmtId="0" fontId="3" fillId="8" borderId="18" xfId="0" applyFont="1" applyFill="1" applyBorder="1" applyAlignment="1" applyProtection="1">
      <alignment horizontal="center" wrapText="1"/>
      <protection locked="0"/>
    </xf>
    <xf numFmtId="173" fontId="0" fillId="0" borderId="18" xfId="0" applyNumberFormat="1" applyBorder="1" applyProtection="1">
      <protection locked="0"/>
    </xf>
    <xf numFmtId="0" fontId="0" fillId="0" borderId="0" xfId="0" applyProtection="1">
      <protection locked="0"/>
    </xf>
    <xf numFmtId="0" fontId="0" fillId="5" borderId="31" xfId="0" applyFill="1" applyBorder="1" applyProtection="1">
      <protection locked="0"/>
    </xf>
    <xf numFmtId="173" fontId="0" fillId="0" borderId="29" xfId="0" applyNumberFormat="1" applyBorder="1" applyProtection="1">
      <protection locked="0"/>
    </xf>
    <xf numFmtId="0" fontId="28" fillId="8" borderId="45" xfId="7" applyNumberFormat="1" applyFont="1" applyFill="1" applyBorder="1" applyAlignment="1" applyProtection="1">
      <alignment horizontal="center" vertical="center" wrapText="1"/>
      <protection locked="0"/>
    </xf>
    <xf numFmtId="0" fontId="9" fillId="8" borderId="17" xfId="15" applyFont="1" applyFill="1" applyBorder="1" applyAlignment="1" applyProtection="1">
      <alignment horizontal="center" vertical="center" wrapText="1"/>
      <protection locked="0"/>
    </xf>
    <xf numFmtId="0" fontId="9" fillId="8" borderId="26" xfId="15" applyFont="1" applyFill="1" applyBorder="1" applyAlignment="1" applyProtection="1">
      <alignment horizontal="center" vertical="center" wrapText="1"/>
      <protection locked="0"/>
    </xf>
    <xf numFmtId="0" fontId="9" fillId="0" borderId="4" xfId="7" applyFont="1" applyBorder="1" applyAlignment="1" applyProtection="1">
      <alignment horizontal="center" wrapText="1"/>
      <protection locked="0"/>
    </xf>
    <xf numFmtId="0" fontId="9" fillId="0" borderId="33" xfId="15" applyFont="1" applyFill="1" applyBorder="1" applyAlignment="1" applyProtection="1">
      <alignment horizontal="center" wrapText="1"/>
      <protection locked="0"/>
    </xf>
    <xf numFmtId="0" fontId="9" fillId="0" borderId="34" xfId="15" applyFont="1" applyFill="1" applyBorder="1" applyAlignment="1" applyProtection="1">
      <alignment horizontal="center" wrapText="1"/>
      <protection locked="0"/>
    </xf>
    <xf numFmtId="0" fontId="9" fillId="0" borderId="34" xfId="7" applyFont="1" applyBorder="1" applyProtection="1">
      <protection locked="0"/>
    </xf>
    <xf numFmtId="0" fontId="0" fillId="2" borderId="5" xfId="0" applyFill="1" applyBorder="1" applyProtection="1">
      <protection locked="0"/>
    </xf>
    <xf numFmtId="44" fontId="1" fillId="0" borderId="18" xfId="2" applyNumberFormat="1" applyFont="1" applyFill="1" applyBorder="1" applyProtection="1"/>
    <xf numFmtId="44" fontId="9" fillId="0" borderId="16" xfId="2" applyNumberFormat="1" applyFont="1" applyFill="1" applyBorder="1" applyAlignment="1" applyProtection="1">
      <alignment horizontal="left"/>
    </xf>
    <xf numFmtId="44" fontId="9" fillId="2" borderId="23" xfId="6" applyNumberFormat="1" applyFont="1" applyFill="1" applyBorder="1" applyProtection="1"/>
    <xf numFmtId="44" fontId="9" fillId="0" borderId="18" xfId="2" applyNumberFormat="1" applyFont="1" applyFill="1" applyBorder="1" applyAlignment="1" applyProtection="1">
      <alignment horizontal="center"/>
    </xf>
    <xf numFmtId="44" fontId="9" fillId="0" borderId="18" xfId="2" applyNumberFormat="1" applyFont="1" applyFill="1" applyBorder="1" applyAlignment="1" applyProtection="1">
      <alignment horizontal="left"/>
    </xf>
    <xf numFmtId="44" fontId="1" fillId="0" borderId="18" xfId="2" applyNumberFormat="1" applyFont="1" applyFill="1" applyBorder="1" applyAlignment="1" applyProtection="1">
      <alignment horizontal="center"/>
    </xf>
    <xf numFmtId="44" fontId="9" fillId="0" borderId="18" xfId="2" applyFont="1" applyFill="1" applyBorder="1" applyAlignment="1" applyProtection="1">
      <alignment horizontal="center"/>
    </xf>
    <xf numFmtId="44" fontId="9" fillId="0" borderId="18" xfId="2" applyFont="1" applyFill="1" applyBorder="1" applyAlignment="1" applyProtection="1">
      <alignment horizontal="left"/>
    </xf>
    <xf numFmtId="44" fontId="9" fillId="0" borderId="16" xfId="2" applyFont="1" applyFill="1" applyBorder="1" applyAlignment="1" applyProtection="1">
      <alignment horizontal="left"/>
    </xf>
    <xf numFmtId="179" fontId="9" fillId="0" borderId="18" xfId="2" applyNumberFormat="1" applyFont="1" applyFill="1" applyBorder="1" applyAlignment="1" applyProtection="1">
      <alignment horizontal="center"/>
    </xf>
    <xf numFmtId="44" fontId="9" fillId="0" borderId="18" xfId="2" applyFont="1" applyFill="1" applyBorder="1" applyAlignment="1" applyProtection="1">
      <alignment horizontal="right"/>
    </xf>
    <xf numFmtId="3" fontId="9" fillId="0" borderId="18" xfId="7" applyNumberFormat="1" applyFont="1" applyFill="1" applyBorder="1" applyProtection="1"/>
    <xf numFmtId="44" fontId="9" fillId="0" borderId="18" xfId="2" applyNumberFormat="1" applyFont="1" applyFill="1" applyBorder="1" applyProtection="1"/>
    <xf numFmtId="2" fontId="9" fillId="0" borderId="18" xfId="7" applyNumberFormat="1" applyFont="1" applyFill="1" applyBorder="1" applyProtection="1"/>
    <xf numFmtId="44" fontId="9" fillId="0" borderId="17" xfId="2" applyFont="1" applyFill="1" applyBorder="1" applyProtection="1"/>
    <xf numFmtId="44" fontId="9" fillId="0" borderId="18" xfId="2" applyFont="1" applyFill="1" applyBorder="1" applyProtection="1"/>
    <xf numFmtId="44" fontId="1" fillId="0" borderId="18" xfId="2" applyFont="1" applyFill="1" applyBorder="1" applyProtection="1"/>
    <xf numFmtId="177" fontId="9" fillId="0" borderId="18" xfId="7" applyNumberFormat="1" applyFont="1" applyFill="1" applyBorder="1" applyProtection="1"/>
    <xf numFmtId="179" fontId="9" fillId="0" borderId="18" xfId="2" applyNumberFormat="1" applyFont="1" applyFill="1" applyBorder="1" applyProtection="1"/>
    <xf numFmtId="44" fontId="9" fillId="0" borderId="41" xfId="2" applyFont="1" applyFill="1" applyBorder="1" applyProtection="1"/>
    <xf numFmtId="44" fontId="1" fillId="0" borderId="16" xfId="2" applyNumberFormat="1" applyFont="1" applyFill="1" applyBorder="1" applyProtection="1"/>
    <xf numFmtId="179" fontId="9" fillId="0" borderId="16" xfId="2" applyNumberFormat="1" applyFont="1" applyFill="1" applyBorder="1" applyAlignment="1" applyProtection="1">
      <alignment horizontal="left"/>
    </xf>
    <xf numFmtId="0" fontId="7" fillId="0" borderId="18" xfId="7" applyFont="1" applyFill="1" applyBorder="1" applyAlignment="1" applyProtection="1">
      <alignment horizontal="centerContinuous"/>
    </xf>
    <xf numFmtId="0" fontId="9" fillId="0" borderId="16" xfId="6" applyFont="1" applyFill="1" applyBorder="1" applyAlignment="1" applyProtection="1">
      <alignment horizontal="left"/>
    </xf>
    <xf numFmtId="44" fontId="7" fillId="0" borderId="18" xfId="2" applyFont="1" applyFill="1" applyBorder="1" applyAlignment="1" applyProtection="1">
      <alignment horizontal="centerContinuous"/>
    </xf>
    <xf numFmtId="171" fontId="9" fillId="0" borderId="18" xfId="1" applyNumberFormat="1" applyFont="1" applyFill="1" applyBorder="1" applyProtection="1"/>
    <xf numFmtId="43" fontId="9" fillId="0" borderId="18" xfId="1" applyFont="1" applyFill="1" applyBorder="1" applyProtection="1"/>
    <xf numFmtId="0" fontId="9" fillId="0" borderId="19" xfId="7" applyFont="1" applyFill="1" applyBorder="1" applyAlignment="1" applyProtection="1"/>
    <xf numFmtId="0" fontId="9" fillId="0" borderId="20" xfId="7" applyFont="1" applyFill="1" applyBorder="1" applyAlignment="1" applyProtection="1"/>
    <xf numFmtId="43" fontId="7" fillId="0" borderId="18" xfId="1" applyFont="1" applyFill="1" applyBorder="1" applyProtection="1"/>
    <xf numFmtId="44" fontId="1" fillId="0" borderId="16" xfId="2" applyFont="1" applyFill="1" applyBorder="1" applyProtection="1"/>
    <xf numFmtId="44" fontId="9" fillId="0" borderId="16" xfId="6" applyNumberFormat="1" applyFont="1" applyFill="1" applyBorder="1" applyAlignment="1" applyProtection="1">
      <alignment horizontal="left"/>
    </xf>
    <xf numFmtId="44" fontId="9" fillId="0" borderId="16" xfId="6" applyNumberFormat="1" applyFont="1" applyFill="1" applyBorder="1" applyAlignment="1" applyProtection="1">
      <alignment horizontal="center"/>
    </xf>
    <xf numFmtId="169" fontId="9" fillId="0" borderId="18" xfId="8" applyNumberFormat="1" applyFont="1" applyFill="1" applyBorder="1" applyAlignment="1" applyProtection="1">
      <alignment horizontal="center"/>
    </xf>
    <xf numFmtId="164" fontId="0" fillId="0" borderId="20" xfId="0" applyNumberFormat="1" applyFont="1" applyBorder="1" applyProtection="1"/>
    <xf numFmtId="181" fontId="9" fillId="0" borderId="18" xfId="2" applyNumberFormat="1" applyFont="1" applyFill="1" applyBorder="1" applyAlignment="1" applyProtection="1">
      <alignment horizontal="center"/>
    </xf>
    <xf numFmtId="0" fontId="9" fillId="0" borderId="28" xfId="3" applyNumberFormat="1" applyFont="1" applyFill="1" applyBorder="1" applyProtection="1"/>
    <xf numFmtId="44" fontId="1" fillId="0" borderId="18" xfId="2" applyFont="1" applyFill="1" applyBorder="1" applyAlignment="1" applyProtection="1">
      <alignment horizontal="right"/>
    </xf>
    <xf numFmtId="180" fontId="9" fillId="0" borderId="23" xfId="1" applyNumberFormat="1" applyFont="1" applyFill="1" applyBorder="1" applyProtection="1"/>
    <xf numFmtId="178" fontId="9" fillId="0" borderId="18" xfId="7" applyNumberFormat="1" applyFont="1" applyFill="1" applyBorder="1" applyAlignment="1" applyProtection="1">
      <alignment horizontal="right"/>
    </xf>
    <xf numFmtId="43" fontId="9" fillId="3" borderId="18" xfId="7" applyNumberFormat="1" applyFont="1" applyFill="1" applyBorder="1" applyProtection="1"/>
    <xf numFmtId="165" fontId="9" fillId="0" borderId="23" xfId="1" applyNumberFormat="1" applyFont="1" applyFill="1" applyBorder="1" applyAlignment="1" applyProtection="1">
      <alignment horizontal="right"/>
    </xf>
    <xf numFmtId="178" fontId="7" fillId="9" borderId="18" xfId="7" applyNumberFormat="1" applyFont="1" applyFill="1" applyBorder="1" applyAlignment="1" applyProtection="1">
      <alignment horizontal="right"/>
    </xf>
    <xf numFmtId="178" fontId="7" fillId="0" borderId="18" xfId="7" applyNumberFormat="1" applyFont="1" applyFill="1" applyBorder="1" applyAlignment="1" applyProtection="1">
      <alignment horizontal="right"/>
    </xf>
    <xf numFmtId="43" fontId="7" fillId="3" borderId="18" xfId="7" applyNumberFormat="1" applyFont="1" applyFill="1" applyBorder="1" applyAlignment="1" applyProtection="1">
      <alignment horizontal="right"/>
    </xf>
    <xf numFmtId="165" fontId="0" fillId="0" borderId="28" xfId="1" applyNumberFormat="1" applyFont="1" applyFill="1" applyBorder="1" applyProtection="1"/>
    <xf numFmtId="165" fontId="0" fillId="0" borderId="18" xfId="1" applyNumberFormat="1" applyFont="1" applyBorder="1" applyProtection="1"/>
    <xf numFmtId="165" fontId="0" fillId="2" borderId="18" xfId="1" applyNumberFormat="1" applyFont="1" applyFill="1" applyBorder="1" applyAlignment="1" applyProtection="1">
      <alignment horizontal="left" indent="3"/>
    </xf>
    <xf numFmtId="43" fontId="0" fillId="0" borderId="18" xfId="1" applyNumberFormat="1" applyFont="1" applyFill="1" applyBorder="1" applyProtection="1"/>
    <xf numFmtId="43" fontId="0" fillId="2" borderId="18" xfId="1" applyNumberFormat="1" applyFont="1" applyFill="1" applyBorder="1" applyProtection="1"/>
    <xf numFmtId="43" fontId="0" fillId="0" borderId="0" xfId="1" applyNumberFormat="1" applyFont="1" applyFill="1" applyBorder="1" applyProtection="1"/>
    <xf numFmtId="43" fontId="0" fillId="2" borderId="18" xfId="1" applyNumberFormat="1" applyFont="1" applyFill="1" applyBorder="1" applyAlignment="1" applyProtection="1">
      <alignment horizontal="right"/>
    </xf>
    <xf numFmtId="43" fontId="0" fillId="2" borderId="0" xfId="1" applyNumberFormat="1" applyFont="1" applyFill="1" applyBorder="1" applyProtection="1"/>
    <xf numFmtId="43" fontId="0" fillId="2" borderId="18" xfId="0" applyNumberFormat="1" applyFill="1" applyBorder="1" applyProtection="1"/>
    <xf numFmtId="43" fontId="0" fillId="2" borderId="29" xfId="0" applyNumberFormat="1" applyFill="1" applyBorder="1" applyProtection="1"/>
    <xf numFmtId="43" fontId="0" fillId="2" borderId="0" xfId="0" applyNumberFormat="1" applyFill="1" applyBorder="1" applyProtection="1"/>
    <xf numFmtId="0" fontId="30" fillId="0" borderId="0" xfId="0" applyFont="1"/>
    <xf numFmtId="0" fontId="0" fillId="0" borderId="0" xfId="0" applyProtection="1"/>
    <xf numFmtId="0" fontId="14" fillId="0" borderId="0" xfId="0" applyFont="1" applyAlignment="1" applyProtection="1">
      <alignment horizontal="left" vertical="top" wrapText="1"/>
    </xf>
    <xf numFmtId="0" fontId="0" fillId="0" borderId="0" xfId="0" applyAlignment="1" applyProtection="1"/>
    <xf numFmtId="0" fontId="0" fillId="8" borderId="39" xfId="0" applyFill="1" applyBorder="1" applyProtection="1"/>
    <xf numFmtId="0" fontId="0" fillId="8" borderId="38" xfId="0" applyFill="1" applyBorder="1" applyProtection="1"/>
    <xf numFmtId="0" fontId="0" fillId="0" borderId="0" xfId="0" applyAlignment="1" applyProtection="1">
      <alignment wrapText="1"/>
    </xf>
    <xf numFmtId="0" fontId="3" fillId="0" borderId="62" xfId="0" applyFont="1" applyBorder="1" applyProtection="1"/>
    <xf numFmtId="0" fontId="0" fillId="0" borderId="62" xfId="0" applyBorder="1" applyProtection="1"/>
    <xf numFmtId="0" fontId="3" fillId="0" borderId="0" xfId="0" applyFont="1" applyBorder="1" applyProtection="1"/>
    <xf numFmtId="179" fontId="9" fillId="0" borderId="18" xfId="2" applyNumberFormat="1" applyFont="1" applyFill="1" applyBorder="1" applyAlignment="1" applyProtection="1">
      <alignment horizontal="right"/>
    </xf>
    <xf numFmtId="165" fontId="0" fillId="0" borderId="18" xfId="1" applyNumberFormat="1" applyFont="1" applyFill="1" applyBorder="1"/>
    <xf numFmtId="2" fontId="9" fillId="7" borderId="17" xfId="7" applyNumberFormat="1" applyFont="1" applyFill="1" applyBorder="1" applyProtection="1"/>
    <xf numFmtId="2" fontId="9" fillId="7" borderId="18" xfId="7" applyNumberFormat="1" applyFont="1" applyFill="1" applyBorder="1" applyProtection="1"/>
    <xf numFmtId="2" fontId="9" fillId="7" borderId="41" xfId="7" applyNumberFormat="1" applyFont="1" applyFill="1" applyBorder="1" applyProtection="1">
      <protection locked="0"/>
    </xf>
    <xf numFmtId="0" fontId="9" fillId="5" borderId="17" xfId="7" applyFont="1" applyFill="1" applyBorder="1" applyAlignment="1" applyProtection="1">
      <alignment horizontal="center"/>
      <protection locked="0"/>
    </xf>
    <xf numFmtId="0" fontId="9" fillId="5" borderId="18" xfId="7" applyFont="1" applyFill="1" applyBorder="1" applyAlignment="1" applyProtection="1">
      <alignment horizontal="center"/>
      <protection locked="0"/>
    </xf>
    <xf numFmtId="0" fontId="7" fillId="8" borderId="49" xfId="7" applyFont="1" applyFill="1" applyBorder="1" applyAlignment="1" applyProtection="1">
      <alignment horizontal="center" vertical="center" wrapText="1"/>
      <protection locked="0"/>
    </xf>
    <xf numFmtId="2" fontId="9" fillId="7" borderId="41" xfId="7" applyNumberFormat="1" applyFont="1" applyFill="1" applyBorder="1" applyProtection="1"/>
    <xf numFmtId="0" fontId="7" fillId="0" borderId="49" xfId="7" applyFont="1" applyFill="1" applyBorder="1" applyAlignment="1" applyProtection="1">
      <alignment horizontal="center" vertical="center" wrapText="1"/>
      <protection locked="0"/>
    </xf>
    <xf numFmtId="165" fontId="9" fillId="7" borderId="23" xfId="1" applyNumberFormat="1" applyFont="1" applyFill="1" applyBorder="1" applyProtection="1"/>
    <xf numFmtId="180" fontId="9" fillId="7" borderId="23" xfId="1" applyNumberFormat="1" applyFont="1" applyFill="1" applyBorder="1" applyProtection="1"/>
    <xf numFmtId="43" fontId="9" fillId="7" borderId="18" xfId="1" applyNumberFormat="1" applyFont="1" applyFill="1" applyBorder="1" applyAlignment="1" applyProtection="1">
      <alignment horizontal="right"/>
    </xf>
    <xf numFmtId="44" fontId="9" fillId="7" borderId="18" xfId="2" applyFont="1" applyFill="1" applyBorder="1" applyAlignment="1" applyProtection="1">
      <alignment horizontal="right"/>
    </xf>
    <xf numFmtId="43" fontId="9" fillId="7" borderId="18" xfId="1" applyFont="1" applyFill="1" applyBorder="1" applyAlignment="1" applyProtection="1">
      <alignment horizontal="right"/>
    </xf>
    <xf numFmtId="0" fontId="7" fillId="4" borderId="0" xfId="7" applyFont="1" applyFill="1" applyBorder="1" applyAlignment="1" applyProtection="1">
      <alignment vertical="center"/>
      <protection locked="0"/>
    </xf>
    <xf numFmtId="0" fontId="7" fillId="0" borderId="39" xfId="7" applyFont="1" applyFill="1" applyBorder="1" applyAlignment="1" applyProtection="1">
      <alignment vertical="center"/>
      <protection locked="0"/>
    </xf>
    <xf numFmtId="0" fontId="7" fillId="0" borderId="38" xfId="7" applyFont="1" applyFill="1" applyBorder="1" applyAlignment="1" applyProtection="1">
      <alignment vertical="center"/>
      <protection locked="0"/>
    </xf>
    <xf numFmtId="0" fontId="3" fillId="0" borderId="48" xfId="0" applyNumberFormat="1" applyFont="1" applyBorder="1" applyAlignment="1" applyProtection="1">
      <alignment horizontal="center" vertical="center" wrapText="1"/>
      <protection locked="0"/>
    </xf>
    <xf numFmtId="0" fontId="0" fillId="5" borderId="18" xfId="0" applyFill="1" applyBorder="1" applyAlignment="1">
      <alignment horizontal="right"/>
    </xf>
    <xf numFmtId="0" fontId="0" fillId="0" borderId="4" xfId="0" applyFill="1" applyBorder="1" applyProtection="1">
      <protection locked="0"/>
    </xf>
    <xf numFmtId="2" fontId="9" fillId="5" borderId="28" xfId="7" applyNumberFormat="1" applyFont="1" applyFill="1" applyBorder="1" applyProtection="1">
      <protection locked="0"/>
    </xf>
    <xf numFmtId="0" fontId="0" fillId="0" borderId="0" xfId="0" applyAlignment="1" applyProtection="1">
      <alignment horizontal="center"/>
    </xf>
    <xf numFmtId="0" fontId="0" fillId="0" borderId="0" xfId="0" applyBorder="1" applyAlignment="1" applyProtection="1">
      <alignment horizontal="center"/>
    </xf>
    <xf numFmtId="0" fontId="0" fillId="0" borderId="32" xfId="0" applyBorder="1" applyAlignment="1" applyProtection="1">
      <alignment horizontal="center"/>
    </xf>
    <xf numFmtId="0" fontId="23" fillId="0" borderId="0" xfId="0" applyFont="1" applyAlignment="1" applyProtection="1">
      <alignment horizontal="left" vertical="top" wrapText="1"/>
    </xf>
    <xf numFmtId="0" fontId="14" fillId="0" borderId="0" xfId="0" applyFont="1" applyAlignment="1" applyProtection="1">
      <alignment horizontal="left" vertical="top" wrapText="1"/>
    </xf>
    <xf numFmtId="0" fontId="0" fillId="0" borderId="0" xfId="0" applyAlignment="1" applyProtection="1">
      <alignment horizontal="left" vertical="top" wrapText="1"/>
    </xf>
    <xf numFmtId="0" fontId="0" fillId="2" borderId="18" xfId="0" applyFill="1" applyBorder="1" applyAlignment="1" applyProtection="1">
      <alignment horizontal="left"/>
    </xf>
    <xf numFmtId="0" fontId="0" fillId="0" borderId="0" xfId="0" applyBorder="1" applyAlignment="1" applyProtection="1">
      <alignment horizontal="left" vertical="top" wrapText="1"/>
    </xf>
    <xf numFmtId="0" fontId="0" fillId="0" borderId="0" xfId="0" applyAlignment="1" applyProtection="1">
      <alignment horizontal="left" wrapText="1"/>
    </xf>
    <xf numFmtId="0" fontId="3" fillId="8" borderId="42" xfId="0" applyFont="1" applyFill="1" applyBorder="1" applyAlignment="1" applyProtection="1">
      <alignment horizontal="left"/>
    </xf>
    <xf numFmtId="0" fontId="3" fillId="8" borderId="8" xfId="0" applyFont="1" applyFill="1" applyBorder="1" applyAlignment="1" applyProtection="1">
      <alignment horizontal="left"/>
    </xf>
    <xf numFmtId="0" fontId="0" fillId="5" borderId="18" xfId="0" applyFill="1" applyBorder="1" applyAlignment="1" applyProtection="1">
      <alignment horizontal="left"/>
    </xf>
    <xf numFmtId="0" fontId="0" fillId="6" borderId="18" xfId="0" applyFill="1" applyBorder="1" applyAlignment="1" applyProtection="1">
      <alignment horizontal="left"/>
    </xf>
    <xf numFmtId="0" fontId="0" fillId="8" borderId="16" xfId="0" applyFill="1" applyBorder="1" applyAlignment="1">
      <alignment horizontal="center"/>
    </xf>
    <xf numFmtId="0" fontId="0" fillId="8" borderId="19" xfId="0" applyFill="1" applyBorder="1" applyAlignment="1">
      <alignment horizontal="center"/>
    </xf>
    <xf numFmtId="0" fontId="0" fillId="8" borderId="20" xfId="0" applyFill="1" applyBorder="1" applyAlignment="1">
      <alignment horizontal="center"/>
    </xf>
    <xf numFmtId="0" fontId="0" fillId="8" borderId="18" xfId="0" applyFill="1" applyBorder="1" applyAlignment="1">
      <alignment horizontal="center"/>
    </xf>
    <xf numFmtId="0" fontId="0" fillId="5" borderId="18" xfId="0" applyFill="1" applyBorder="1" applyAlignment="1">
      <alignment horizontal="center"/>
    </xf>
    <xf numFmtId="0" fontId="0" fillId="5" borderId="16" xfId="0" applyFill="1" applyBorder="1" applyAlignment="1">
      <alignment horizontal="center"/>
    </xf>
    <xf numFmtId="0" fontId="0" fillId="5" borderId="20" xfId="0" applyFill="1" applyBorder="1" applyAlignment="1">
      <alignment horizontal="center"/>
    </xf>
    <xf numFmtId="0" fontId="21" fillId="7" borderId="0" xfId="0" applyFont="1" applyFill="1" applyAlignment="1">
      <alignment horizontal="center" vertical="center"/>
    </xf>
    <xf numFmtId="0" fontId="16" fillId="7" borderId="0" xfId="7" applyFont="1" applyFill="1" applyBorder="1" applyAlignment="1" applyProtection="1">
      <alignment horizontal="center" vertical="center"/>
      <protection locked="0"/>
    </xf>
    <xf numFmtId="0" fontId="7" fillId="7" borderId="0" xfId="7" applyFont="1" applyFill="1" applyBorder="1" applyAlignment="1" applyProtection="1">
      <alignment horizontal="center" vertical="center"/>
      <protection locked="0"/>
    </xf>
    <xf numFmtId="0" fontId="7" fillId="4" borderId="0" xfId="7" applyFont="1" applyFill="1" applyBorder="1" applyAlignment="1" applyProtection="1">
      <alignment horizontal="center" vertical="center"/>
      <protection locked="0"/>
    </xf>
    <xf numFmtId="0" fontId="24" fillId="2" borderId="8" xfId="7" applyFont="1" applyFill="1" applyBorder="1" applyAlignment="1" applyProtection="1">
      <alignment horizontal="left"/>
      <protection locked="0"/>
    </xf>
    <xf numFmtId="0" fontId="24" fillId="2" borderId="0" xfId="7" applyFont="1" applyFill="1" applyBorder="1" applyAlignment="1" applyProtection="1">
      <alignment horizontal="left"/>
      <protection locked="0"/>
    </xf>
    <xf numFmtId="0" fontId="3" fillId="8" borderId="40" xfId="0" applyFont="1" applyFill="1" applyBorder="1" applyAlignment="1" applyProtection="1">
      <alignment horizontal="left"/>
      <protection locked="0"/>
    </xf>
    <xf numFmtId="0" fontId="3" fillId="8" borderId="39" xfId="0" applyFont="1" applyFill="1" applyBorder="1" applyAlignment="1" applyProtection="1">
      <alignment horizontal="left"/>
      <protection locked="0"/>
    </xf>
    <xf numFmtId="0" fontId="3" fillId="8" borderId="38" xfId="0" applyFont="1" applyFill="1" applyBorder="1" applyAlignment="1" applyProtection="1">
      <alignment horizontal="left"/>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6" borderId="4" xfId="0" applyFill="1" applyBorder="1" applyAlignment="1" applyProtection="1">
      <alignment horizontal="left"/>
      <protection locked="0"/>
    </xf>
    <xf numFmtId="0" fontId="0" fillId="6" borderId="0" xfId="0" applyFill="1" applyBorder="1" applyAlignment="1" applyProtection="1">
      <alignment horizontal="left"/>
      <protection locked="0"/>
    </xf>
    <xf numFmtId="0" fontId="0" fillId="6" borderId="5" xfId="0" applyFill="1" applyBorder="1" applyAlignment="1" applyProtection="1">
      <alignment horizontal="left"/>
      <protection locked="0"/>
    </xf>
    <xf numFmtId="0" fontId="0" fillId="2" borderId="42"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3" fillId="9" borderId="45" xfId="0" applyFont="1" applyFill="1" applyBorder="1" applyAlignment="1" applyProtection="1">
      <alignment horizontal="center" vertical="center"/>
      <protection locked="0"/>
    </xf>
    <xf numFmtId="0" fontId="3" fillId="9" borderId="51" xfId="0" applyFont="1" applyFill="1" applyBorder="1" applyAlignment="1" applyProtection="1">
      <alignment horizontal="center" vertical="center"/>
      <protection locked="0"/>
    </xf>
    <xf numFmtId="0" fontId="3" fillId="9" borderId="52" xfId="0" applyFont="1" applyFill="1" applyBorder="1" applyAlignment="1" applyProtection="1">
      <alignment horizontal="center" vertical="center"/>
      <protection locked="0"/>
    </xf>
    <xf numFmtId="0" fontId="24" fillId="0" borderId="0" xfId="7" applyFont="1" applyAlignment="1" applyProtection="1">
      <alignment horizontal="left"/>
      <protection locked="0"/>
    </xf>
    <xf numFmtId="0" fontId="7" fillId="2" borderId="0" xfId="4" applyFont="1" applyFill="1" applyBorder="1" applyAlignment="1" applyProtection="1">
      <alignment horizontal="center" vertical="center"/>
      <protection locked="0"/>
    </xf>
    <xf numFmtId="0" fontId="24" fillId="2" borderId="32" xfId="7" applyFont="1" applyFill="1" applyBorder="1" applyAlignment="1" applyProtection="1">
      <alignment horizontal="left"/>
      <protection locked="0"/>
    </xf>
    <xf numFmtId="0" fontId="9" fillId="0" borderId="44" xfId="7" applyFont="1" applyFill="1" applyBorder="1" applyAlignment="1" applyProtection="1">
      <alignment horizontal="left" vertical="center"/>
      <protection locked="0"/>
    </xf>
    <xf numFmtId="0" fontId="9" fillId="0" borderId="19" xfId="7" applyFont="1" applyFill="1" applyBorder="1" applyAlignment="1" applyProtection="1">
      <alignment horizontal="left" vertical="center"/>
      <protection locked="0"/>
    </xf>
    <xf numFmtId="0" fontId="9" fillId="0" borderId="20" xfId="7" applyFont="1" applyFill="1" applyBorder="1" applyAlignment="1" applyProtection="1">
      <alignment horizontal="left" vertical="center"/>
      <protection locked="0"/>
    </xf>
    <xf numFmtId="0" fontId="7" fillId="0" borderId="44" xfId="7" applyFont="1" applyFill="1" applyBorder="1" applyAlignment="1" applyProtection="1">
      <alignment horizontal="center" vertical="center"/>
      <protection locked="0"/>
    </xf>
    <xf numFmtId="0" fontId="7" fillId="0" borderId="19" xfId="7" applyFont="1" applyFill="1" applyBorder="1" applyAlignment="1" applyProtection="1">
      <alignment horizontal="center" vertical="center"/>
      <protection locked="0"/>
    </xf>
    <xf numFmtId="0" fontId="7" fillId="0" borderId="20" xfId="7" applyFont="1" applyFill="1" applyBorder="1" applyAlignment="1" applyProtection="1">
      <alignment horizontal="center" vertical="center"/>
      <protection locked="0"/>
    </xf>
    <xf numFmtId="0" fontId="24" fillId="2" borderId="32" xfId="6" applyFont="1" applyFill="1" applyBorder="1" applyAlignment="1" applyProtection="1">
      <alignment horizontal="left"/>
      <protection locked="0"/>
    </xf>
    <xf numFmtId="0" fontId="3" fillId="9" borderId="63" xfId="0" applyFont="1" applyFill="1" applyBorder="1" applyAlignment="1" applyProtection="1">
      <alignment horizontal="center" vertical="center"/>
      <protection locked="0"/>
    </xf>
    <xf numFmtId="0" fontId="3" fillId="9" borderId="32" xfId="0" applyFont="1" applyFill="1" applyBorder="1" applyAlignment="1" applyProtection="1">
      <alignment horizontal="center" vertical="center"/>
      <protection locked="0"/>
    </xf>
    <xf numFmtId="0" fontId="24" fillId="0" borderId="8" xfId="7" applyFont="1" applyBorder="1" applyAlignment="1" applyProtection="1">
      <alignment horizontal="left"/>
      <protection locked="0"/>
    </xf>
    <xf numFmtId="0" fontId="7" fillId="0" borderId="45" xfId="7" applyFont="1" applyFill="1" applyBorder="1" applyAlignment="1" applyProtection="1">
      <alignment horizontal="center" vertical="center"/>
      <protection locked="0"/>
    </xf>
    <xf numFmtId="0" fontId="7" fillId="0" borderId="51" xfId="7" applyFont="1" applyFill="1" applyBorder="1" applyAlignment="1" applyProtection="1">
      <alignment horizontal="center" vertical="center"/>
      <protection locked="0"/>
    </xf>
    <xf numFmtId="0" fontId="7" fillId="0" borderId="61" xfId="7" applyFont="1" applyFill="1" applyBorder="1" applyAlignment="1" applyProtection="1">
      <alignment horizontal="center" vertical="center"/>
      <protection locked="0"/>
    </xf>
    <xf numFmtId="0" fontId="3" fillId="9" borderId="39" xfId="0" applyFont="1" applyFill="1" applyBorder="1" applyAlignment="1" applyProtection="1">
      <alignment horizontal="center" vertical="center"/>
      <protection locked="0"/>
    </xf>
    <xf numFmtId="0" fontId="3" fillId="8" borderId="35" xfId="0" applyFont="1" applyFill="1" applyBorder="1" applyAlignment="1" applyProtection="1">
      <alignment horizontal="center" vertical="center"/>
      <protection locked="0"/>
    </xf>
    <xf numFmtId="0" fontId="3" fillId="8" borderId="55" xfId="0" applyFont="1" applyFill="1" applyBorder="1" applyAlignment="1" applyProtection="1">
      <alignment horizontal="center" vertical="center"/>
      <protection locked="0"/>
    </xf>
    <xf numFmtId="0" fontId="3" fillId="8" borderId="54" xfId="0" applyFont="1" applyFill="1" applyBorder="1" applyAlignment="1" applyProtection="1">
      <alignment horizontal="center" vertical="center"/>
      <protection locked="0"/>
    </xf>
    <xf numFmtId="0" fontId="3" fillId="8" borderId="46" xfId="0" applyFont="1" applyFill="1" applyBorder="1" applyAlignment="1" applyProtection="1">
      <alignment horizontal="center" vertical="center"/>
      <protection locked="0"/>
    </xf>
    <xf numFmtId="0" fontId="7" fillId="8" borderId="60" xfId="7" applyFont="1" applyFill="1" applyBorder="1" applyAlignment="1" applyProtection="1">
      <alignment horizontal="center" vertical="center"/>
      <protection locked="0"/>
    </xf>
    <xf numFmtId="0" fontId="7" fillId="8" borderId="61" xfId="7" applyFont="1" applyFill="1" applyBorder="1" applyAlignment="1" applyProtection="1">
      <alignment horizontal="center" vertical="center"/>
      <protection locked="0"/>
    </xf>
    <xf numFmtId="0" fontId="7" fillId="0" borderId="53" xfId="7" applyFont="1" applyFill="1" applyBorder="1" applyAlignment="1" applyProtection="1">
      <alignment horizontal="center" vertical="center"/>
      <protection locked="0"/>
    </xf>
    <xf numFmtId="0" fontId="7" fillId="0" borderId="39" xfId="7" applyFont="1" applyFill="1" applyBorder="1" applyAlignment="1" applyProtection="1">
      <alignment horizontal="center" vertical="center"/>
      <protection locked="0"/>
    </xf>
    <xf numFmtId="0" fontId="7" fillId="0" borderId="41" xfId="7" applyFont="1" applyBorder="1" applyAlignment="1" applyProtection="1">
      <alignment horizontal="center" vertical="center" wrapText="1"/>
      <protection locked="0"/>
    </xf>
    <xf numFmtId="0" fontId="7" fillId="0" borderId="59" xfId="7" applyFont="1" applyBorder="1" applyAlignment="1" applyProtection="1">
      <alignment horizontal="center" vertical="center" wrapText="1"/>
      <protection locked="0"/>
    </xf>
    <xf numFmtId="0" fontId="7" fillId="8" borderId="57" xfId="7" applyFont="1" applyFill="1" applyBorder="1" applyAlignment="1" applyProtection="1">
      <alignment horizontal="center" vertical="center"/>
      <protection locked="0"/>
    </xf>
    <xf numFmtId="0" fontId="7" fillId="8" borderId="58" xfId="7" applyFont="1" applyFill="1" applyBorder="1" applyAlignment="1" applyProtection="1">
      <alignment horizontal="center" vertical="center"/>
      <protection locked="0"/>
    </xf>
    <xf numFmtId="0" fontId="29" fillId="0" borderId="8" xfId="0" applyFont="1" applyBorder="1" applyAlignment="1" applyProtection="1">
      <alignment horizontal="center"/>
      <protection locked="0"/>
    </xf>
    <xf numFmtId="0" fontId="29" fillId="0" borderId="63" xfId="0" applyFont="1" applyFill="1" applyBorder="1" applyAlignment="1" applyProtection="1">
      <alignment horizontal="center"/>
      <protection locked="0"/>
    </xf>
    <xf numFmtId="0" fontId="29" fillId="0" borderId="32" xfId="0" applyFont="1" applyFill="1" applyBorder="1" applyAlignment="1" applyProtection="1">
      <alignment horizontal="center"/>
      <protection locked="0"/>
    </xf>
    <xf numFmtId="0" fontId="0" fillId="0" borderId="32" xfId="0" applyBorder="1" applyAlignment="1">
      <alignment horizontal="left"/>
    </xf>
    <xf numFmtId="0" fontId="0" fillId="0" borderId="32" xfId="0" applyBorder="1" applyAlignment="1">
      <alignment horizontal="center"/>
    </xf>
    <xf numFmtId="0" fontId="0" fillId="0" borderId="0" xfId="0" applyAlignment="1">
      <alignment horizontal="center"/>
    </xf>
    <xf numFmtId="0" fontId="31" fillId="0" borderId="0" xfId="0" applyFont="1" applyAlignment="1">
      <alignment wrapText="1"/>
    </xf>
    <xf numFmtId="0" fontId="22" fillId="2" borderId="8" xfId="0" applyFont="1" applyFill="1" applyBorder="1" applyAlignment="1" applyProtection="1">
      <protection locked="0"/>
    </xf>
    <xf numFmtId="0" fontId="22" fillId="0" borderId="0" xfId="0" applyFont="1" applyFill="1" applyAlignment="1" applyProtection="1">
      <protection locked="0"/>
    </xf>
    <xf numFmtId="0" fontId="0" fillId="0" borderId="18" xfId="0" applyFill="1" applyBorder="1" applyAlignment="1" applyProtection="1">
      <alignment horizontal="left"/>
    </xf>
  </cellXfs>
  <cellStyles count="20">
    <cellStyle name="Comma" xfId="1" builtinId="3"/>
    <cellStyle name="Comma 2" xfId="9"/>
    <cellStyle name="Comma 3" xfId="10"/>
    <cellStyle name="Currency" xfId="2" builtinId="4"/>
    <cellStyle name="Currency 2" xfId="11"/>
    <cellStyle name="Currency 3" xfId="12"/>
    <cellStyle name="Hyperlink 2" xfId="4"/>
    <cellStyle name="Normal" xfId="0" builtinId="0"/>
    <cellStyle name="Normal 2" xfId="13"/>
    <cellStyle name="Normal 2 2" xfId="6"/>
    <cellStyle name="Normal 2 3" xfId="14"/>
    <cellStyle name="Normal 2 3 2" xfId="18"/>
    <cellStyle name="Normal_Capital Cost" xfId="5"/>
    <cellStyle name="Normal_Demography" xfId="15"/>
    <cellStyle name="Normal_Direct Cost" xfId="16"/>
    <cellStyle name="Normal_Drug List" xfId="8"/>
    <cellStyle name="Normal_Salaries" xfId="7"/>
    <cellStyle name="Percent" xfId="3" builtinId="5"/>
    <cellStyle name="Percent 2" xfId="17"/>
    <cellStyle name="Percent 2 2" xfId="19"/>
  </cellStyles>
  <dxfs count="0"/>
  <tableStyles count="0" defaultTableStyle="TableStyleMedium2" defaultPivotStyle="PivotStyleLight16"/>
  <colors>
    <mruColors>
      <color rgb="FFEEB500"/>
      <color rgb="FFDEA900"/>
      <color rgb="FF291D81"/>
      <color rgb="FFDB98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viral load costs</a:t>
            </a:r>
          </a:p>
        </c:rich>
      </c:tx>
      <c:layout/>
      <c:overlay val="0"/>
      <c:spPr>
        <a:noFill/>
        <a:ln>
          <a:noFill/>
        </a:ln>
        <a:effectLst/>
      </c:spPr>
    </c:title>
    <c:autoTitleDeleted val="0"/>
    <c:plotArea>
      <c:layout/>
      <c:barChart>
        <c:barDir val="col"/>
        <c:grouping val="stacked"/>
        <c:varyColors val="0"/>
        <c:ser>
          <c:idx val="0"/>
          <c:order val="0"/>
          <c:tx>
            <c:strRef>
              <c:f>'Results tables and graphs'!$A$12</c:f>
              <c:strCache>
                <c:ptCount val="1"/>
                <c:pt idx="0">
                  <c:v>Abbott M2000 RealTime</c:v>
                </c:pt>
              </c:strCache>
            </c:strRef>
          </c:tx>
          <c:spPr>
            <a:solidFill>
              <a:schemeClr val="accent1"/>
            </a:solidFill>
            <a:ln>
              <a:noFill/>
            </a:ln>
            <a:effectLst/>
          </c:spPr>
          <c:invertIfNegative val="0"/>
          <c:cat>
            <c:numRef>
              <c:f>'Results tables and graphs'!$B$11:$L$11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graphs'!$B$12:$L$12</c:f>
              <c:numCache>
                <c:formatCode>_(* #,##0_);_(* \(#,##0\);_(* "-"??_);_(@_)</c:formatCode>
                <c:ptCount val="11"/>
                <c:pt idx="0">
                  <c:v>1159902.7128124174</c:v>
                </c:pt>
                <c:pt idx="1">
                  <c:v>1171260.762956334</c:v>
                </c:pt>
                <c:pt idx="2">
                  <c:v>1171559.5152017104</c:v>
                </c:pt>
                <c:pt idx="3">
                  <c:v>1162465.4109054357</c:v>
                </c:pt>
                <c:pt idx="4">
                  <c:v>1152056.5868915236</c:v>
                </c:pt>
                <c:pt idx="5">
                  <c:v>1145148.6431050627</c:v>
                </c:pt>
                <c:pt idx="6">
                  <c:v>1142502.6574683143</c:v>
                </c:pt>
                <c:pt idx="7">
                  <c:v>1140333.8043436168</c:v>
                </c:pt>
                <c:pt idx="8">
                  <c:v>1139017.0992523825</c:v>
                </c:pt>
                <c:pt idx="9">
                  <c:v>1139596.1442498106</c:v>
                </c:pt>
                <c:pt idx="10">
                  <c:v>1142538.8596023065</c:v>
                </c:pt>
              </c:numCache>
            </c:numRef>
          </c:val>
          <c:extLst xmlns:c16r2="http://schemas.microsoft.com/office/drawing/2015/06/chart">
            <c:ext xmlns:c16="http://schemas.microsoft.com/office/drawing/2014/chart" uri="{C3380CC4-5D6E-409C-BE32-E72D297353CC}">
              <c16:uniqueId val="{00000000-91FC-4085-A66C-AA691DBF38CA}"/>
            </c:ext>
          </c:extLst>
        </c:ser>
        <c:ser>
          <c:idx val="1"/>
          <c:order val="1"/>
          <c:tx>
            <c:strRef>
              <c:f>'Results tables and graphs'!$A$13</c:f>
              <c:strCache>
                <c:ptCount val="1"/>
                <c:pt idx="0">
                  <c:v>Abbott M2000 RealTime</c:v>
                </c:pt>
              </c:strCache>
            </c:strRef>
          </c:tx>
          <c:spPr>
            <a:solidFill>
              <a:schemeClr val="accent2"/>
            </a:solidFill>
            <a:ln>
              <a:noFill/>
            </a:ln>
            <a:effectLst/>
          </c:spPr>
          <c:invertIfNegative val="0"/>
          <c:cat>
            <c:numRef>
              <c:f>'Results tables and graphs'!$B$11:$L$11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graphs'!$B$13:$L$13</c:f>
              <c:numCache>
                <c:formatCode>_(* #,##0_);_(* \(#,##0\);_(* "-"??_);_(@_)</c:formatCode>
                <c:ptCount val="11"/>
                <c:pt idx="0">
                  <c:v>1170052.7128124174</c:v>
                </c:pt>
                <c:pt idx="1">
                  <c:v>1181510.154230867</c:v>
                </c:pt>
                <c:pt idx="2">
                  <c:v>1181674.1187090874</c:v>
                </c:pt>
                <c:pt idx="3">
                  <c:v>1172247.3564245137</c:v>
                </c:pt>
                <c:pt idx="4">
                  <c:v>1161479.3422488342</c:v>
                </c:pt>
                <c:pt idx="5">
                  <c:v>1154286.119540805</c:v>
                </c:pt>
                <c:pt idx="6">
                  <c:v>1151443.3564067523</c:v>
                </c:pt>
                <c:pt idx="7">
                  <c:v>1149087.2466843897</c:v>
                </c:pt>
                <c:pt idx="8">
                  <c:v>1147600.3814711589</c:v>
                </c:pt>
                <c:pt idx="9">
                  <c:v>1148047.4887200634</c:v>
                </c:pt>
                <c:pt idx="10">
                  <c:v>1150905.6437783646</c:v>
                </c:pt>
              </c:numCache>
            </c:numRef>
          </c:val>
          <c:extLst xmlns:c16r2="http://schemas.microsoft.com/office/drawing/2015/06/chart">
            <c:ext xmlns:c16="http://schemas.microsoft.com/office/drawing/2014/chart" uri="{C3380CC4-5D6E-409C-BE32-E72D297353CC}">
              <c16:uniqueId val="{00000001-91FC-4085-A66C-AA691DBF38CA}"/>
            </c:ext>
          </c:extLst>
        </c:ser>
        <c:ser>
          <c:idx val="2"/>
          <c:order val="2"/>
          <c:tx>
            <c:strRef>
              <c:f>'Results tables and graphs'!$A$14</c:f>
              <c:strCache>
                <c:ptCount val="1"/>
                <c:pt idx="0">
                  <c:v>Roche COBAS Ampliprep/TaqMan 48</c:v>
                </c:pt>
              </c:strCache>
            </c:strRef>
          </c:tx>
          <c:spPr>
            <a:solidFill>
              <a:schemeClr val="accent3"/>
            </a:solidFill>
            <a:ln>
              <a:noFill/>
            </a:ln>
            <a:effectLst/>
          </c:spPr>
          <c:invertIfNegative val="0"/>
          <c:cat>
            <c:numRef>
              <c:f>'Results tables and graphs'!$B$11:$L$11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graphs'!$B$14:$L$14</c:f>
              <c:numCache>
                <c:formatCode>_(* #,##0_);_(* \(#,##0\);_(* "-"??_);_(@_)</c:formatCode>
                <c:ptCount val="11"/>
                <c:pt idx="0">
                  <c:v>1239090.7956954644</c:v>
                </c:pt>
                <c:pt idx="1">
                  <c:v>1251224.2748527378</c:v>
                </c:pt>
                <c:pt idx="2">
                  <c:v>1251397.9139320368</c:v>
                </c:pt>
                <c:pt idx="3">
                  <c:v>1241414.9326081034</c:v>
                </c:pt>
                <c:pt idx="4">
                  <c:v>1230011.5598310495</c:v>
                </c:pt>
                <c:pt idx="5">
                  <c:v>1222393.9064114164</c:v>
                </c:pt>
                <c:pt idx="6">
                  <c:v>1219383.4081704598</c:v>
                </c:pt>
                <c:pt idx="7">
                  <c:v>1216888.2779608034</c:v>
                </c:pt>
                <c:pt idx="8">
                  <c:v>1215313.6813806847</c:v>
                </c:pt>
                <c:pt idx="9">
                  <c:v>1215787.1698575194</c:v>
                </c:pt>
                <c:pt idx="10">
                  <c:v>1218813.9682116711</c:v>
                </c:pt>
              </c:numCache>
            </c:numRef>
          </c:val>
          <c:extLst xmlns:c16r2="http://schemas.microsoft.com/office/drawing/2015/06/chart">
            <c:ext xmlns:c16="http://schemas.microsoft.com/office/drawing/2014/chart" uri="{C3380CC4-5D6E-409C-BE32-E72D297353CC}">
              <c16:uniqueId val="{00000002-91FC-4085-A66C-AA691DBF38CA}"/>
            </c:ext>
          </c:extLst>
        </c:ser>
        <c:ser>
          <c:idx val="3"/>
          <c:order val="3"/>
          <c:tx>
            <c:strRef>
              <c:f>'Results tables and graphs'!$A$15</c:f>
              <c:strCache>
                <c:ptCount val="1"/>
                <c:pt idx="0">
                  <c:v>Roche COBAS Ampliprep/TaqMan 48</c:v>
                </c:pt>
              </c:strCache>
            </c:strRef>
          </c:tx>
          <c:spPr>
            <a:solidFill>
              <a:schemeClr val="accent4"/>
            </a:solidFill>
            <a:ln>
              <a:noFill/>
            </a:ln>
            <a:effectLst/>
          </c:spPr>
          <c:invertIfNegative val="0"/>
          <c:cat>
            <c:numRef>
              <c:f>'Results tables and graphs'!$B$11:$L$11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graphs'!$B$15:$L$15</c:f>
              <c:numCache>
                <c:formatCode>_(* #,##0_);_(* \(#,##0\);_(* "-"??_);_(@_)</c:formatCode>
                <c:ptCount val="11"/>
                <c:pt idx="0">
                  <c:v>1257090.7956954646</c:v>
                </c:pt>
                <c:pt idx="1">
                  <c:v>1269400.5352410723</c:v>
                </c:pt>
                <c:pt idx="2">
                  <c:v>1269576.6967371614</c:v>
                </c:pt>
                <c:pt idx="3">
                  <c:v>1259448.6948348691</c:v>
                </c:pt>
                <c:pt idx="4">
                  <c:v>1247879.6677646029</c:v>
                </c:pt>
                <c:pt idx="5">
                  <c:v>1240151.3543658704</c:v>
                </c:pt>
                <c:pt idx="6">
                  <c:v>1237097.1232777929</c:v>
                </c:pt>
                <c:pt idx="7">
                  <c:v>1234565.7468592795</c:v>
                </c:pt>
                <c:pt idx="8">
                  <c:v>1232968.2764602762</c:v>
                </c:pt>
                <c:pt idx="9">
                  <c:v>1233448.6432002801</c:v>
                </c:pt>
                <c:pt idx="10">
                  <c:v>1236519.4111897191</c:v>
                </c:pt>
              </c:numCache>
            </c:numRef>
          </c:val>
          <c:extLst xmlns:c16r2="http://schemas.microsoft.com/office/drawing/2015/06/chart">
            <c:ext xmlns:c16="http://schemas.microsoft.com/office/drawing/2014/chart" uri="{C3380CC4-5D6E-409C-BE32-E72D297353CC}">
              <c16:uniqueId val="{00000003-91FC-4085-A66C-AA691DBF38CA}"/>
            </c:ext>
          </c:extLst>
        </c:ser>
        <c:dLbls>
          <c:showLegendKey val="0"/>
          <c:showVal val="0"/>
          <c:showCatName val="0"/>
          <c:showSerName val="0"/>
          <c:showPercent val="0"/>
          <c:showBubbleSize val="0"/>
        </c:dLbls>
        <c:gapWidth val="150"/>
        <c:overlap val="100"/>
        <c:axId val="129552768"/>
        <c:axId val="129554304"/>
        <c:extLst xmlns:c16r2="http://schemas.microsoft.com/office/drawing/2015/06/chart">
          <c:ext xmlns:c15="http://schemas.microsoft.com/office/drawing/2012/chart" uri="{02D57815-91ED-43cb-92C2-25804820EDAC}">
            <c15:filteredBarSeries>
              <c15:ser>
                <c:idx val="4"/>
                <c:order val="4"/>
                <c:tx>
                  <c:strRef>
                    <c:extLst>
                      <c:ext uri="{02D57815-91ED-43cb-92C2-25804820EDAC}">
                        <c15:formulaRef>
                          <c15:sqref>'Results tables and graphs'!#REF!</c15:sqref>
                        </c15:formulaRef>
                      </c:ext>
                    </c:extLst>
                    <c:strCache>
                      <c:ptCount val="1"/>
                    </c:strCache>
                  </c:strRef>
                </c:tx>
                <c:spPr>
                  <a:solidFill>
                    <a:schemeClr val="accent5"/>
                  </a:solidFill>
                  <a:ln>
                    <a:noFill/>
                  </a:ln>
                  <a:effectLst/>
                </c:spPr>
                <c:invertIfNegative val="0"/>
                <c:cat>
                  <c:numRef>
                    <c:extLst>
                      <c:ext uri="{02D57815-91ED-43cb-92C2-25804820EDAC}">
                        <c15:formulaRef>
                          <c15:sqref>'Results tables and graphs'!$B$11:$L$11</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c:ext uri="{02D57815-91ED-43cb-92C2-25804820EDAC}">
                        <c15:formulaRef>
                          <c15:sqref>'Results tables and graphs'!#REF!</c15:sqref>
                        </c15:formulaRef>
                      </c:ext>
                    </c:extLst>
                    <c:numCache>
                      <c:formatCode>_(* #,##0_);_(* \(#,##0\);_(* "-"??_);_(@_)</c:formatCode>
                      <c:ptCount val="11"/>
                    </c:numCache>
                  </c:numRef>
                </c:val>
                <c:extLst>
                  <c:ext xmlns:c16="http://schemas.microsoft.com/office/drawing/2014/chart" uri="{C3380CC4-5D6E-409C-BE32-E72D297353CC}">
                    <c16:uniqueId val="{00000004-91FC-4085-A66C-AA691DBF38CA}"/>
                  </c:ext>
                </c:extLst>
              </c15:ser>
            </c15:filteredBarSeries>
          </c:ext>
        </c:extLst>
      </c:barChart>
      <c:catAx>
        <c:axId val="12955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554304"/>
        <c:crosses val="autoZero"/>
        <c:auto val="1"/>
        <c:lblAlgn val="ctr"/>
        <c:lblOffset val="100"/>
        <c:noMultiLvlLbl val="0"/>
      </c:catAx>
      <c:valAx>
        <c:axId val="129554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a:r>
                <a:br>
                  <a:rPr lang="en-US"/>
                </a:br>
                <a:r>
                  <a:rPr lang="en-US"/>
                  <a:t>Selected currency</a:t>
                </a:r>
              </a:p>
            </c:rich>
          </c:tx>
          <c:layout/>
          <c:overlay val="0"/>
          <c:spPr>
            <a:noFill/>
            <a:ln>
              <a:noFill/>
            </a:ln>
            <a:effectLst/>
          </c:sp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552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Tests</a:t>
            </a:r>
            <a:r>
              <a:rPr lang="en-US" baseline="0"/>
              <a:t> by type</a:t>
            </a:r>
            <a:endParaRPr lang="en-US"/>
          </a:p>
        </c:rich>
      </c:tx>
      <c:layout/>
      <c:overlay val="0"/>
      <c:spPr>
        <a:noFill/>
        <a:ln>
          <a:noFill/>
        </a:ln>
        <a:effectLst/>
      </c:spPr>
    </c:title>
    <c:autoTitleDeleted val="0"/>
    <c:plotArea>
      <c:layout/>
      <c:barChart>
        <c:barDir val="col"/>
        <c:grouping val="clustered"/>
        <c:varyColors val="0"/>
        <c:ser>
          <c:idx val="0"/>
          <c:order val="0"/>
          <c:tx>
            <c:strRef>
              <c:f>'Results tables and graphs'!$A$4</c:f>
              <c:strCache>
                <c:ptCount val="1"/>
                <c:pt idx="0">
                  <c:v>Abbott M2000 RealTime</c:v>
                </c:pt>
              </c:strCache>
            </c:strRef>
          </c:tx>
          <c:spPr>
            <a:solidFill>
              <a:schemeClr val="accent1"/>
            </a:solidFill>
            <a:ln>
              <a:noFill/>
            </a:ln>
            <a:effectLst/>
          </c:spPr>
          <c:invertIfNegative val="0"/>
          <c:cat>
            <c:numRef>
              <c:f>'Results tables and graphs'!$B$2:$L$2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graphs'!$B$4:$L$4</c:f>
              <c:numCache>
                <c:formatCode>_(* #,##0_);_(* \(#,##0\);_(* "-"??_);_(@_)</c:formatCode>
                <c:ptCount val="11"/>
                <c:pt idx="0">
                  <c:v>46500</c:v>
                </c:pt>
                <c:pt idx="1">
                  <c:v>46727.669668265335</c:v>
                </c:pt>
                <c:pt idx="2">
                  <c:v>46730.911992484122</c:v>
                </c:pt>
                <c:pt idx="3">
                  <c:v>46544.51491747002</c:v>
                </c:pt>
                <c:pt idx="4">
                  <c:v>46330.740924428079</c:v>
                </c:pt>
                <c:pt idx="5">
                  <c:v>46187.274172340978</c:v>
                </c:pt>
                <c:pt idx="6">
                  <c:v>46130.399417435423</c:v>
                </c:pt>
                <c:pt idx="7">
                  <c:v>46083.202878431075</c:v>
                </c:pt>
                <c:pt idx="8">
                  <c:v>46053.388122644741</c:v>
                </c:pt>
                <c:pt idx="9">
                  <c:v>46062.359365595985</c:v>
                </c:pt>
                <c:pt idx="10">
                  <c:v>46119.697309675656</c:v>
                </c:pt>
              </c:numCache>
            </c:numRef>
          </c:val>
          <c:extLst xmlns:c16r2="http://schemas.microsoft.com/office/drawing/2015/06/chart">
            <c:ext xmlns:c16="http://schemas.microsoft.com/office/drawing/2014/chart" uri="{C3380CC4-5D6E-409C-BE32-E72D297353CC}">
              <c16:uniqueId val="{00000000-546A-46E4-9DAC-121A8670F0D5}"/>
            </c:ext>
          </c:extLst>
        </c:ser>
        <c:ser>
          <c:idx val="1"/>
          <c:order val="1"/>
          <c:tx>
            <c:strRef>
              <c:f>'Results tables and graphs'!$A$5</c:f>
              <c:strCache>
                <c:ptCount val="1"/>
                <c:pt idx="0">
                  <c:v>Abbott M2000 RealTime</c:v>
                </c:pt>
              </c:strCache>
            </c:strRef>
          </c:tx>
          <c:spPr>
            <a:solidFill>
              <a:schemeClr val="accent2"/>
            </a:solidFill>
            <a:ln>
              <a:noFill/>
            </a:ln>
            <a:effectLst/>
          </c:spPr>
          <c:invertIfNegative val="0"/>
          <c:cat>
            <c:numRef>
              <c:f>'Results tables and graphs'!$B$2:$L$2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graphs'!$B$5:$L$5</c:f>
              <c:numCache>
                <c:formatCode>_(* #,##0_);_(* \(#,##0\);_(* "-"??_);_(@_)</c:formatCode>
                <c:ptCount val="11"/>
                <c:pt idx="0">
                  <c:v>46500</c:v>
                </c:pt>
                <c:pt idx="1">
                  <c:v>46727.669668265335</c:v>
                </c:pt>
                <c:pt idx="2">
                  <c:v>46730.911992484122</c:v>
                </c:pt>
                <c:pt idx="3">
                  <c:v>46544.51491747002</c:v>
                </c:pt>
                <c:pt idx="4">
                  <c:v>46330.740924428079</c:v>
                </c:pt>
                <c:pt idx="5">
                  <c:v>46187.274172340978</c:v>
                </c:pt>
                <c:pt idx="6">
                  <c:v>46130.399417435423</c:v>
                </c:pt>
                <c:pt idx="7">
                  <c:v>46083.202878431075</c:v>
                </c:pt>
                <c:pt idx="8">
                  <c:v>46053.388122644741</c:v>
                </c:pt>
                <c:pt idx="9">
                  <c:v>46062.359365595985</c:v>
                </c:pt>
                <c:pt idx="10">
                  <c:v>46119.697309675656</c:v>
                </c:pt>
              </c:numCache>
            </c:numRef>
          </c:val>
          <c:extLst xmlns:c16r2="http://schemas.microsoft.com/office/drawing/2015/06/chart">
            <c:ext xmlns:c16="http://schemas.microsoft.com/office/drawing/2014/chart" uri="{C3380CC4-5D6E-409C-BE32-E72D297353CC}">
              <c16:uniqueId val="{00000001-546A-46E4-9DAC-121A8670F0D5}"/>
            </c:ext>
          </c:extLst>
        </c:ser>
        <c:ser>
          <c:idx val="2"/>
          <c:order val="2"/>
          <c:tx>
            <c:strRef>
              <c:f>'Results tables and graphs'!$A$6</c:f>
              <c:strCache>
                <c:ptCount val="1"/>
                <c:pt idx="0">
                  <c:v>Roche COBAS Ampliprep/TaqMan 48</c:v>
                </c:pt>
              </c:strCache>
            </c:strRef>
          </c:tx>
          <c:spPr>
            <a:solidFill>
              <a:schemeClr val="accent3"/>
            </a:solidFill>
            <a:ln>
              <a:noFill/>
            </a:ln>
            <a:effectLst/>
          </c:spPr>
          <c:invertIfNegative val="0"/>
          <c:cat>
            <c:numRef>
              <c:f>'Results tables and graphs'!$B$2:$L$2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graphs'!$B$6:$L$6</c:f>
              <c:numCache>
                <c:formatCode>_(* #,##0_);_(* \(#,##0\);_(* "-"??_);_(@_)</c:formatCode>
                <c:ptCount val="11"/>
                <c:pt idx="0">
                  <c:v>42000</c:v>
                </c:pt>
                <c:pt idx="1">
                  <c:v>42205.63711972352</c:v>
                </c:pt>
                <c:pt idx="2">
                  <c:v>42208.565670630815</c:v>
                </c:pt>
                <c:pt idx="3">
                  <c:v>42040.207022230985</c:v>
                </c:pt>
                <c:pt idx="4">
                  <c:v>41847.120834967296</c:v>
                </c:pt>
                <c:pt idx="5">
                  <c:v>41717.537962114424</c:v>
                </c:pt>
                <c:pt idx="6">
                  <c:v>41666.167215748108</c:v>
                </c:pt>
                <c:pt idx="7">
                  <c:v>41623.538083744177</c:v>
                </c:pt>
                <c:pt idx="8">
                  <c:v>41596.608626904912</c:v>
                </c:pt>
                <c:pt idx="9">
                  <c:v>41604.711685054426</c:v>
                </c:pt>
                <c:pt idx="10">
                  <c:v>41656.500795836058</c:v>
                </c:pt>
              </c:numCache>
            </c:numRef>
          </c:val>
          <c:extLst xmlns:c16r2="http://schemas.microsoft.com/office/drawing/2015/06/chart">
            <c:ext xmlns:c16="http://schemas.microsoft.com/office/drawing/2014/chart" uri="{C3380CC4-5D6E-409C-BE32-E72D297353CC}">
              <c16:uniqueId val="{00000002-546A-46E4-9DAC-121A8670F0D5}"/>
            </c:ext>
          </c:extLst>
        </c:ser>
        <c:ser>
          <c:idx val="3"/>
          <c:order val="3"/>
          <c:tx>
            <c:strRef>
              <c:f>'Results tables and graphs'!$A$7</c:f>
              <c:strCache>
                <c:ptCount val="1"/>
                <c:pt idx="0">
                  <c:v>Roche COBAS Ampliprep/TaqMan 48</c:v>
                </c:pt>
              </c:strCache>
              <c:extLst xmlns:c16r2="http://schemas.microsoft.com/office/drawing/2015/06/chart" xmlns:c15="http://schemas.microsoft.com/office/drawing/2012/chart"/>
            </c:strRef>
          </c:tx>
          <c:spPr>
            <a:solidFill>
              <a:schemeClr val="accent4"/>
            </a:solidFill>
            <a:ln>
              <a:noFill/>
            </a:ln>
            <a:effectLst/>
          </c:spPr>
          <c:invertIfNegative val="0"/>
          <c:cat>
            <c:numRef>
              <c:f>'Results tables and graphs'!$B$2:$L$2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extLst xmlns:c16r2="http://schemas.microsoft.com/office/drawing/2015/06/chart" xmlns:c15="http://schemas.microsoft.com/office/drawing/2012/chart"/>
            </c:numRef>
          </c:cat>
          <c:val>
            <c:numRef>
              <c:f>'Results tables and graphs'!$B$7:$L$7</c:f>
              <c:numCache>
                <c:formatCode>_(* #,##0_);_(* \(#,##0\);_(* "-"??_);_(@_)</c:formatCode>
                <c:ptCount val="11"/>
                <c:pt idx="0">
                  <c:v>42000</c:v>
                </c:pt>
                <c:pt idx="1">
                  <c:v>42205.63711972352</c:v>
                </c:pt>
                <c:pt idx="2">
                  <c:v>42208.565670630815</c:v>
                </c:pt>
                <c:pt idx="3">
                  <c:v>42040.207022230985</c:v>
                </c:pt>
                <c:pt idx="4">
                  <c:v>41847.120834967296</c:v>
                </c:pt>
                <c:pt idx="5">
                  <c:v>41717.537962114424</c:v>
                </c:pt>
                <c:pt idx="6">
                  <c:v>41666.167215748108</c:v>
                </c:pt>
                <c:pt idx="7">
                  <c:v>41623.538083744177</c:v>
                </c:pt>
                <c:pt idx="8">
                  <c:v>41596.608626904912</c:v>
                </c:pt>
                <c:pt idx="9">
                  <c:v>41604.711685054426</c:v>
                </c:pt>
                <c:pt idx="10">
                  <c:v>41656.500795836058</c:v>
                </c:pt>
              </c:numCache>
              <c:extLst xmlns:c16r2="http://schemas.microsoft.com/office/drawing/2015/06/chart" xmlns:c15="http://schemas.microsoft.com/office/drawing/2012/chart"/>
            </c:numRef>
          </c:val>
          <c:extLst xmlns:c16r2="http://schemas.microsoft.com/office/drawing/2015/06/chart" xmlns:c15="http://schemas.microsoft.com/office/drawing/2012/chart">
            <c:ext xmlns:c16="http://schemas.microsoft.com/office/drawing/2014/chart" uri="{C3380CC4-5D6E-409C-BE32-E72D297353CC}">
              <c16:uniqueId val="{00000003-546A-46E4-9DAC-121A8670F0D5}"/>
            </c:ext>
          </c:extLst>
        </c:ser>
        <c:dLbls>
          <c:showLegendKey val="0"/>
          <c:showVal val="0"/>
          <c:showCatName val="0"/>
          <c:showSerName val="0"/>
          <c:showPercent val="0"/>
          <c:showBubbleSize val="0"/>
        </c:dLbls>
        <c:gapWidth val="219"/>
        <c:overlap val="-27"/>
        <c:axId val="119519104"/>
        <c:axId val="119520640"/>
        <c:extLst xmlns:c16r2="http://schemas.microsoft.com/office/drawing/2015/06/chart">
          <c:ext xmlns:c15="http://schemas.microsoft.com/office/drawing/2012/chart" uri="{02D57815-91ED-43cb-92C2-25804820EDAC}">
            <c15:filteredBarSeries>
              <c15:ser>
                <c:idx val="4"/>
                <c:order val="4"/>
                <c:tx>
                  <c:strRef>
                    <c:extLst>
                      <c:ext uri="{02D57815-91ED-43cb-92C2-25804820EDAC}">
                        <c15:formulaRef>
                          <c15:sqref>'Results tables and graphs'!$A$8</c15:sqref>
                        </c15:formulaRef>
                      </c:ext>
                    </c:extLst>
                    <c:strCache>
                      <c:ptCount val="1"/>
                      <c:pt idx="0">
                        <c:v>TOTALS  </c:v>
                      </c:pt>
                    </c:strCache>
                  </c:strRef>
                </c:tx>
                <c:spPr>
                  <a:solidFill>
                    <a:schemeClr val="accent5"/>
                  </a:solidFill>
                  <a:ln>
                    <a:noFill/>
                  </a:ln>
                  <a:effectLst/>
                </c:spPr>
                <c:invertIfNegative val="0"/>
                <c:cat>
                  <c:numRef>
                    <c:extLst>
                      <c:ext uri="{02D57815-91ED-43cb-92C2-25804820EDAC}">
                        <c15:formulaRef>
                          <c15:sqref>'Results tables and graphs'!$B$2:$L$2</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c:ext uri="{02D57815-91ED-43cb-92C2-25804820EDAC}">
                        <c15:formulaRef>
                          <c15:sqref>'Results tables and graphs'!$B$8:$L$8</c15:sqref>
                        </c15:formulaRef>
                      </c:ext>
                    </c:extLst>
                    <c:numCache>
                      <c:formatCode>_(* #,##0_);_(* \(#,##0\);_(* "-"??_);_(@_)</c:formatCode>
                      <c:ptCount val="11"/>
                      <c:pt idx="0">
                        <c:v>1907428</c:v>
                      </c:pt>
                      <c:pt idx="1">
                        <c:v>1916767</c:v>
                      </c:pt>
                      <c:pt idx="2">
                        <c:v>1916900</c:v>
                      </c:pt>
                      <c:pt idx="3">
                        <c:v>1909254</c:v>
                      </c:pt>
                      <c:pt idx="4">
                        <c:v>1900485</c:v>
                      </c:pt>
                      <c:pt idx="5">
                        <c:v>1894600</c:v>
                      </c:pt>
                      <c:pt idx="6">
                        <c:v>1892267</c:v>
                      </c:pt>
                      <c:pt idx="7">
                        <c:v>1890331</c:v>
                      </c:pt>
                      <c:pt idx="8">
                        <c:v>1889108</c:v>
                      </c:pt>
                      <c:pt idx="9">
                        <c:v>1889476</c:v>
                      </c:pt>
                      <c:pt idx="10">
                        <c:v>1891828</c:v>
                      </c:pt>
                    </c:numCache>
                  </c:numRef>
                </c:val>
                <c:extLst>
                  <c:ext xmlns:c16="http://schemas.microsoft.com/office/drawing/2014/chart" uri="{C3380CC4-5D6E-409C-BE32-E72D297353CC}">
                    <c16:uniqueId val="{00000004-546A-46E4-9DAC-121A8670F0D5}"/>
                  </c:ext>
                </c:extLst>
              </c15:ser>
            </c15:filteredBarSeries>
          </c:ext>
        </c:extLst>
      </c:barChart>
      <c:catAx>
        <c:axId val="11951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520640"/>
        <c:crosses val="autoZero"/>
        <c:auto val="1"/>
        <c:lblAlgn val="ctr"/>
        <c:lblOffset val="100"/>
        <c:noMultiLvlLbl val="0"/>
      </c:catAx>
      <c:valAx>
        <c:axId val="1195206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5191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Costs by type (Test type 1)</a:t>
            </a:r>
          </a:p>
        </c:rich>
      </c:tx>
      <c:layout/>
      <c:overlay val="0"/>
      <c:spPr>
        <a:noFill/>
        <a:ln>
          <a:noFill/>
        </a:ln>
        <a:effectLst/>
      </c:spPr>
    </c:title>
    <c:autoTitleDeleted val="0"/>
    <c:plotArea>
      <c:layout/>
      <c:barChart>
        <c:barDir val="col"/>
        <c:grouping val="stacked"/>
        <c:varyColors val="0"/>
        <c:ser>
          <c:idx val="0"/>
          <c:order val="0"/>
          <c:tx>
            <c:strRef>
              <c:f>'Results tables and graphs'!$A$21</c:f>
              <c:strCache>
                <c:ptCount val="1"/>
                <c:pt idx="0">
                  <c:v>HR</c:v>
                </c:pt>
              </c:strCache>
            </c:strRef>
          </c:tx>
          <c:spPr>
            <a:solidFill>
              <a:schemeClr val="accent1"/>
            </a:solidFill>
            <a:ln>
              <a:noFill/>
            </a:ln>
            <a:effectLst/>
          </c:spPr>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graphs'!$B$21:$L$21</c:f>
              <c:numCache>
                <c:formatCode>_(* #,##0.00_);_(* \(#,##0.00\);_(* "-"??_);_(@_)</c:formatCode>
                <c:ptCount val="11"/>
                <c:pt idx="0">
                  <c:v>5.194709947986782</c:v>
                </c:pt>
                <c:pt idx="1">
                  <c:v>5.2200199602127073</c:v>
                </c:pt>
                <c:pt idx="2">
                  <c:v>5.2203821401150012</c:v>
                </c:pt>
                <c:pt idx="3">
                  <c:v>5.1994760470318813</c:v>
                </c:pt>
                <c:pt idx="4">
                  <c:v>5.175485220765732</c:v>
                </c:pt>
                <c:pt idx="5">
                  <c:v>5.1594091463836955</c:v>
                </c:pt>
                <c:pt idx="6">
                  <c:v>5.1530480453664964</c:v>
                </c:pt>
                <c:pt idx="7">
                  <c:v>5.1477705034884718</c:v>
                </c:pt>
                <c:pt idx="8">
                  <c:v>5.1444378600791127</c:v>
                </c:pt>
                <c:pt idx="9">
                  <c:v>5.1454398061914262</c:v>
                </c:pt>
                <c:pt idx="10">
                  <c:v>5.1518368329952171</c:v>
                </c:pt>
              </c:numCache>
            </c:numRef>
          </c:val>
          <c:extLst xmlns:c16r2="http://schemas.microsoft.com/office/drawing/2015/06/chart">
            <c:ext xmlns:c16="http://schemas.microsoft.com/office/drawing/2014/chart" uri="{C3380CC4-5D6E-409C-BE32-E72D297353CC}">
              <c16:uniqueId val="{00000000-916D-4110-8697-5C1CF28AA9E3}"/>
            </c:ext>
          </c:extLst>
        </c:ser>
        <c:ser>
          <c:idx val="1"/>
          <c:order val="1"/>
          <c:tx>
            <c:strRef>
              <c:f>'Results tables and graphs'!$A$22</c:f>
              <c:strCache>
                <c:ptCount val="1"/>
                <c:pt idx="0">
                  <c:v>Equipment</c:v>
                </c:pt>
              </c:strCache>
            </c:strRef>
          </c:tx>
          <c:spPr>
            <a:solidFill>
              <a:schemeClr val="accent2"/>
            </a:solidFill>
            <a:ln>
              <a:noFill/>
            </a:ln>
            <a:effectLst/>
          </c:spPr>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graphs'!$B$22:$L$22</c:f>
              <c:numCache>
                <c:formatCode>_(* #,##0.00_);_(* \(#,##0.00\);_(* "-"??_);_(@_)</c:formatCode>
                <c:ptCount val="11"/>
                <c:pt idx="0">
                  <c:v>0.13642428026361428</c:v>
                </c:pt>
                <c:pt idx="1">
                  <c:v>0.13708897573958082</c:v>
                </c:pt>
                <c:pt idx="2">
                  <c:v>0.13709848736448213</c:v>
                </c:pt>
                <c:pt idx="3">
                  <c:v>0.13654944829771112</c:v>
                </c:pt>
                <c:pt idx="4">
                  <c:v>0.13591939748851103</c:v>
                </c:pt>
                <c:pt idx="5">
                  <c:v>0.13549720512377977</c:v>
                </c:pt>
                <c:pt idx="6">
                  <c:v>0.13533014889992037</c:v>
                </c:pt>
                <c:pt idx="7">
                  <c:v>0.13519154927463242</c:v>
                </c:pt>
                <c:pt idx="8">
                  <c:v>0.13510402687529743</c:v>
                </c:pt>
                <c:pt idx="9">
                  <c:v>0.13513034013986927</c:v>
                </c:pt>
                <c:pt idx="10">
                  <c:v>0.13529833985232145</c:v>
                </c:pt>
              </c:numCache>
            </c:numRef>
          </c:val>
          <c:extLst xmlns:c16r2="http://schemas.microsoft.com/office/drawing/2015/06/chart">
            <c:ext xmlns:c16="http://schemas.microsoft.com/office/drawing/2014/chart" uri="{C3380CC4-5D6E-409C-BE32-E72D297353CC}">
              <c16:uniqueId val="{00000001-916D-4110-8697-5C1CF28AA9E3}"/>
            </c:ext>
          </c:extLst>
        </c:ser>
        <c:ser>
          <c:idx val="2"/>
          <c:order val="2"/>
          <c:tx>
            <c:strRef>
              <c:f>'Results tables and graphs'!$A$23</c:f>
              <c:strCache>
                <c:ptCount val="1"/>
                <c:pt idx="0">
                  <c:v>Consumables</c:v>
                </c:pt>
              </c:strCache>
            </c:strRef>
          </c:tx>
          <c:spPr>
            <a:solidFill>
              <a:schemeClr val="accent3"/>
            </a:solidFill>
            <a:ln>
              <a:noFill/>
            </a:ln>
            <a:effectLst/>
          </c:spPr>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graphs'!$B$23:$L$23</c:f>
              <c:numCache>
                <c:formatCode>_(* #,##0.00_);_(* \(#,##0.00\);_(* "-"??_);_(@_)</c:formatCode>
                <c:ptCount val="11"/>
                <c:pt idx="0">
                  <c:v>2.6971055460355298</c:v>
                </c:pt>
                <c:pt idx="1">
                  <c:v>2.7102465635376185</c:v>
                </c:pt>
                <c:pt idx="2">
                  <c:v>2.7104346081893738</c:v>
                </c:pt>
                <c:pt idx="3">
                  <c:v>2.6995801157990393</c:v>
                </c:pt>
                <c:pt idx="4">
                  <c:v>2.6871240227304583</c:v>
                </c:pt>
                <c:pt idx="5">
                  <c:v>2.6787772873384132</c:v>
                </c:pt>
                <c:pt idx="6">
                  <c:v>2.6754745888231612</c:v>
                </c:pt>
                <c:pt idx="7">
                  <c:v>2.6727344767454557</c:v>
                </c:pt>
                <c:pt idx="8">
                  <c:v>2.6710041604982848</c:v>
                </c:pt>
                <c:pt idx="9">
                  <c:v>2.6715243732615397</c:v>
                </c:pt>
                <c:pt idx="10">
                  <c:v>2.6748457245291553</c:v>
                </c:pt>
              </c:numCache>
            </c:numRef>
          </c:val>
          <c:extLst xmlns:c16r2="http://schemas.microsoft.com/office/drawing/2015/06/chart">
            <c:ext xmlns:c16="http://schemas.microsoft.com/office/drawing/2014/chart" uri="{C3380CC4-5D6E-409C-BE32-E72D297353CC}">
              <c16:uniqueId val="{00000002-916D-4110-8697-5C1CF28AA9E3}"/>
            </c:ext>
          </c:extLst>
        </c:ser>
        <c:ser>
          <c:idx val="3"/>
          <c:order val="3"/>
          <c:tx>
            <c:strRef>
              <c:f>'Results tables and graphs'!$A$24</c:f>
              <c:strCache>
                <c:ptCount val="1"/>
                <c:pt idx="0">
                  <c:v>Reagents</c:v>
                </c:pt>
              </c:strCache>
            </c:strRef>
          </c:tx>
          <c:spPr>
            <a:solidFill>
              <a:schemeClr val="accent4"/>
            </a:solidFill>
            <a:ln>
              <a:noFill/>
            </a:ln>
            <a:effectLst/>
          </c:spPr>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graphs'!$B$24:$L$24</c:f>
              <c:numCache>
                <c:formatCode>_(* #,##0.00_);_(* \(#,##0.00\);_(* "-"??_);_(@_)</c:formatCode>
                <c:ptCount val="11"/>
                <c:pt idx="0">
                  <c:v>16.311966793602998</c:v>
                </c:pt>
                <c:pt idx="1">
                  <c:v>16.391443046003765</c:v>
                </c:pt>
                <c:pt idx="2">
                  <c:v>16.392580331164762</c:v>
                </c:pt>
                <c:pt idx="3">
                  <c:v>16.326932874507825</c:v>
                </c:pt>
                <c:pt idx="4">
                  <c:v>16.251599012690154</c:v>
                </c:pt>
                <c:pt idx="5">
                  <c:v>16.201118351764535</c:v>
                </c:pt>
                <c:pt idx="6">
                  <c:v>16.181143787332211</c:v>
                </c:pt>
                <c:pt idx="7">
                  <c:v>16.164571719068892</c:v>
                </c:pt>
                <c:pt idx="8">
                  <c:v>16.154106848234388</c:v>
                </c:pt>
                <c:pt idx="9">
                  <c:v>16.15725307042517</c:v>
                </c:pt>
                <c:pt idx="10">
                  <c:v>16.177340445821685</c:v>
                </c:pt>
              </c:numCache>
            </c:numRef>
          </c:val>
          <c:extLst xmlns:c16r2="http://schemas.microsoft.com/office/drawing/2015/06/chart">
            <c:ext xmlns:c16="http://schemas.microsoft.com/office/drawing/2014/chart" uri="{C3380CC4-5D6E-409C-BE32-E72D297353CC}">
              <c16:uniqueId val="{00000003-916D-4110-8697-5C1CF28AA9E3}"/>
            </c:ext>
          </c:extLst>
        </c:ser>
        <c:ser>
          <c:idx val="4"/>
          <c:order val="4"/>
          <c:tx>
            <c:strRef>
              <c:f>'Results tables and graphs'!$A$25</c:f>
              <c:strCache>
                <c:ptCount val="1"/>
                <c:pt idx="0">
                  <c:v>Capital Costs</c:v>
                </c:pt>
              </c:strCache>
            </c:strRef>
          </c:tx>
          <c:spPr>
            <a:solidFill>
              <a:schemeClr val="accent5"/>
            </a:solidFill>
            <a:ln>
              <a:noFill/>
            </a:ln>
            <a:effectLst/>
          </c:spPr>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graphs'!$B$25:$L$25</c:f>
              <c:numCache>
                <c:formatCode>_(* #,##0.00_);_(* \(#,##0.00\);_(* "-"??_);_(@_)</c:formatCode>
                <c:ptCount val="11"/>
                <c:pt idx="0">
                  <c:v>0.10589295026540993</c:v>
                </c:pt>
                <c:pt idx="1">
                  <c:v>0.10640888895932979</c:v>
                </c:pt>
                <c:pt idx="2">
                  <c:v>0.10692734144416034</c:v>
                </c:pt>
                <c:pt idx="3">
                  <c:v>0.1074483199677613</c:v>
                </c:pt>
                <c:pt idx="4">
                  <c:v>0.10797183683766721</c:v>
                </c:pt>
                <c:pt idx="5">
                  <c:v>0.10849790442137823</c:v>
                </c:pt>
                <c:pt idx="6">
                  <c:v>0.10902653514665224</c:v>
                </c:pt>
                <c:pt idx="7">
                  <c:v>0.10955774150179849</c:v>
                </c:pt>
                <c:pt idx="8">
                  <c:v>0.1100915360359726</c:v>
                </c:pt>
                <c:pt idx="9">
                  <c:v>0.11062793135947305</c:v>
                </c:pt>
                <c:pt idx="10">
                  <c:v>0.11116694014403901</c:v>
                </c:pt>
              </c:numCache>
            </c:numRef>
          </c:val>
          <c:extLst xmlns:c16r2="http://schemas.microsoft.com/office/drawing/2015/06/chart">
            <c:ext xmlns:c16="http://schemas.microsoft.com/office/drawing/2014/chart" uri="{C3380CC4-5D6E-409C-BE32-E72D297353CC}">
              <c16:uniqueId val="{00000004-916D-4110-8697-5C1CF28AA9E3}"/>
            </c:ext>
          </c:extLst>
        </c:ser>
        <c:ser>
          <c:idx val="5"/>
          <c:order val="5"/>
          <c:tx>
            <c:strRef>
              <c:f>'Results tables and graphs'!$A$26</c:f>
              <c:strCache>
                <c:ptCount val="1"/>
                <c:pt idx="0">
                  <c:v>Overheads</c:v>
                </c:pt>
              </c:strCache>
            </c:strRef>
          </c:tx>
          <c:spPr>
            <a:solidFill>
              <a:schemeClr val="accent6"/>
            </a:solidFill>
            <a:ln>
              <a:noFill/>
            </a:ln>
            <a:effectLst/>
          </c:spPr>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graphs'!$B$26:$L$26</c:f>
              <c:numCache>
                <c:formatCode>_(* #,##0.00_);_(* \(#,##0.00\);_(* "-"??_);_(@_)</c:formatCode>
                <c:ptCount val="11"/>
                <c:pt idx="0">
                  <c:v>0.49804484340302818</c:v>
                </c:pt>
                <c:pt idx="1">
                  <c:v>0.50047145070195442</c:v>
                </c:pt>
                <c:pt idx="2">
                  <c:v>0.50290988107878465</c:v>
                </c:pt>
                <c:pt idx="3">
                  <c:v>0.50536019213870731</c:v>
                </c:pt>
                <c:pt idx="4">
                  <c:v>0.50782244176757896</c:v>
                </c:pt>
                <c:pt idx="5">
                  <c:v>0.51029668813329143</c:v>
                </c:pt>
                <c:pt idx="6">
                  <c:v>0.51278298968714586</c:v>
                </c:pt>
                <c:pt idx="7">
                  <c:v>0.51528140516523391</c:v>
                </c:pt>
                <c:pt idx="8">
                  <c:v>0.51779199358982497</c:v>
                </c:pt>
                <c:pt idx="9">
                  <c:v>0.52031481427076087</c:v>
                </c:pt>
                <c:pt idx="10">
                  <c:v>0.52284992680685671</c:v>
                </c:pt>
              </c:numCache>
            </c:numRef>
          </c:val>
          <c:extLst xmlns:c16r2="http://schemas.microsoft.com/office/drawing/2015/06/chart">
            <c:ext xmlns:c16="http://schemas.microsoft.com/office/drawing/2014/chart" uri="{C3380CC4-5D6E-409C-BE32-E72D297353CC}">
              <c16:uniqueId val="{00000005-916D-4110-8697-5C1CF28AA9E3}"/>
            </c:ext>
          </c:extLst>
        </c:ser>
        <c:ser>
          <c:idx val="6"/>
          <c:order val="6"/>
          <c:tx>
            <c:strRef>
              <c:f>'Results tables and graphs'!$A$27</c:f>
              <c:strCache>
                <c:ptCount val="1"/>
                <c:pt idx="0">
                  <c:v>Other</c:v>
                </c:pt>
              </c:strCache>
            </c:strRef>
          </c:tx>
          <c:invertIfNegative val="0"/>
          <c:cat>
            <c:numRef>
              <c:f>'Results tables and graphs'!$B$20:$L$20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graphs'!$B$27:$L$27</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34584960"/>
        <c:axId val="134599040"/>
      </c:barChart>
      <c:catAx>
        <c:axId val="13458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99040"/>
        <c:crosses val="autoZero"/>
        <c:auto val="1"/>
        <c:lblAlgn val="ctr"/>
        <c:lblOffset val="100"/>
        <c:noMultiLvlLbl val="0"/>
      </c:catAx>
      <c:valAx>
        <c:axId val="13459904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849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Costs by type (Test type 2)</a:t>
            </a:r>
          </a:p>
        </c:rich>
      </c:tx>
      <c:layout/>
      <c:overlay val="0"/>
      <c:spPr>
        <a:noFill/>
        <a:ln>
          <a:noFill/>
        </a:ln>
        <a:effectLst/>
      </c:spPr>
    </c:title>
    <c:autoTitleDeleted val="0"/>
    <c:plotArea>
      <c:layout/>
      <c:barChart>
        <c:barDir val="col"/>
        <c:grouping val="stacked"/>
        <c:varyColors val="0"/>
        <c:ser>
          <c:idx val="0"/>
          <c:order val="0"/>
          <c:tx>
            <c:strRef>
              <c:f>'Results tables and graphs'!$A$33</c:f>
              <c:strCache>
                <c:ptCount val="1"/>
                <c:pt idx="0">
                  <c:v>HR</c:v>
                </c:pt>
              </c:strCache>
            </c:strRef>
          </c:tx>
          <c:spPr>
            <a:solidFill>
              <a:schemeClr val="accent1"/>
            </a:solidFill>
            <a:ln>
              <a:noFill/>
            </a:ln>
            <a:effectLst/>
          </c:spPr>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graphs'!$B$33:$L$33</c:f>
              <c:numCache>
                <c:formatCode>_(* #,##0.00_);_(* \(#,##0.00\);_(* "-"??_);_(@_)</c:formatCode>
                <c:ptCount val="11"/>
                <c:pt idx="0">
                  <c:v>5.194709947986782</c:v>
                </c:pt>
                <c:pt idx="1">
                  <c:v>5.2200199602127073</c:v>
                </c:pt>
                <c:pt idx="2">
                  <c:v>5.2203821401150012</c:v>
                </c:pt>
                <c:pt idx="3">
                  <c:v>5.1994760470318813</c:v>
                </c:pt>
                <c:pt idx="4">
                  <c:v>5.175485220765732</c:v>
                </c:pt>
                <c:pt idx="5">
                  <c:v>5.1594091463836955</c:v>
                </c:pt>
                <c:pt idx="6">
                  <c:v>5.1530480453664964</c:v>
                </c:pt>
                <c:pt idx="7">
                  <c:v>5.1477705034884718</c:v>
                </c:pt>
                <c:pt idx="8">
                  <c:v>5.1444378600791127</c:v>
                </c:pt>
                <c:pt idx="9">
                  <c:v>5.1454398061914262</c:v>
                </c:pt>
                <c:pt idx="10">
                  <c:v>5.1518368329952171</c:v>
                </c:pt>
              </c:numCache>
            </c:numRef>
          </c:val>
          <c:extLst xmlns:c16r2="http://schemas.microsoft.com/office/drawing/2015/06/chart">
            <c:ext xmlns:c16="http://schemas.microsoft.com/office/drawing/2014/chart" uri="{C3380CC4-5D6E-409C-BE32-E72D297353CC}">
              <c16:uniqueId val="{00000000-43B9-4505-A881-86C453413989}"/>
            </c:ext>
          </c:extLst>
        </c:ser>
        <c:ser>
          <c:idx val="1"/>
          <c:order val="1"/>
          <c:tx>
            <c:strRef>
              <c:f>'Results tables and graphs'!$A$34</c:f>
              <c:strCache>
                <c:ptCount val="1"/>
                <c:pt idx="0">
                  <c:v>Equipment</c:v>
                </c:pt>
              </c:strCache>
            </c:strRef>
          </c:tx>
          <c:spPr>
            <a:solidFill>
              <a:schemeClr val="accent2"/>
            </a:solidFill>
            <a:ln>
              <a:noFill/>
            </a:ln>
            <a:effectLst/>
          </c:spPr>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graphs'!$B$34:$L$34</c:f>
              <c:numCache>
                <c:formatCode>_(* #,##0.00_);_(* \(#,##0.00\);_(* "-"??_);_(@_)</c:formatCode>
                <c:ptCount val="11"/>
                <c:pt idx="0">
                  <c:v>0.35470385015608741</c:v>
                </c:pt>
                <c:pt idx="1">
                  <c:v>0.356432061908798</c:v>
                </c:pt>
                <c:pt idx="2">
                  <c:v>0.35645679218384302</c:v>
                </c:pt>
                <c:pt idx="3">
                  <c:v>0.35502928770668196</c:v>
                </c:pt>
                <c:pt idx="4">
                  <c:v>0.35339115227078011</c:v>
                </c:pt>
                <c:pt idx="5">
                  <c:v>0.3522934498897427</c:v>
                </c:pt>
                <c:pt idx="6">
                  <c:v>0.3518591028242426</c:v>
                </c:pt>
                <c:pt idx="7">
                  <c:v>0.35149874306551904</c:v>
                </c:pt>
                <c:pt idx="8">
                  <c:v>0.3512711843643917</c:v>
                </c:pt>
                <c:pt idx="9">
                  <c:v>0.35133959899143441</c:v>
                </c:pt>
                <c:pt idx="10">
                  <c:v>0.35177639913226533</c:v>
                </c:pt>
              </c:numCache>
            </c:numRef>
          </c:val>
          <c:extLst xmlns:c16r2="http://schemas.microsoft.com/office/drawing/2015/06/chart">
            <c:ext xmlns:c16="http://schemas.microsoft.com/office/drawing/2014/chart" uri="{C3380CC4-5D6E-409C-BE32-E72D297353CC}">
              <c16:uniqueId val="{00000001-43B9-4505-A881-86C453413989}"/>
            </c:ext>
          </c:extLst>
        </c:ser>
        <c:ser>
          <c:idx val="2"/>
          <c:order val="2"/>
          <c:tx>
            <c:strRef>
              <c:f>'Results tables and graphs'!$A$35</c:f>
              <c:strCache>
                <c:ptCount val="1"/>
                <c:pt idx="0">
                  <c:v>Consumables</c:v>
                </c:pt>
              </c:strCache>
            </c:strRef>
          </c:tx>
          <c:spPr>
            <a:solidFill>
              <a:schemeClr val="accent3"/>
            </a:solidFill>
            <a:ln>
              <a:noFill/>
            </a:ln>
            <a:effectLst/>
          </c:spPr>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graphs'!$B$35:$L$35</c:f>
              <c:numCache>
                <c:formatCode>_(* #,##0.00_);_(* \(#,##0.00\);_(* "-"??_);_(@_)</c:formatCode>
                <c:ptCount val="11"/>
                <c:pt idx="0">
                  <c:v>2.6971055460355298</c:v>
                </c:pt>
                <c:pt idx="1">
                  <c:v>2.7102465635376185</c:v>
                </c:pt>
                <c:pt idx="2">
                  <c:v>2.7104346081893738</c:v>
                </c:pt>
                <c:pt idx="3">
                  <c:v>2.6995801157990393</c:v>
                </c:pt>
                <c:pt idx="4">
                  <c:v>2.6871240227304583</c:v>
                </c:pt>
                <c:pt idx="5">
                  <c:v>2.6787772873384132</c:v>
                </c:pt>
                <c:pt idx="6">
                  <c:v>2.6754745888231612</c:v>
                </c:pt>
                <c:pt idx="7">
                  <c:v>2.6727344767454557</c:v>
                </c:pt>
                <c:pt idx="8">
                  <c:v>2.6710041604982848</c:v>
                </c:pt>
                <c:pt idx="9">
                  <c:v>2.6715243732615397</c:v>
                </c:pt>
                <c:pt idx="10">
                  <c:v>2.6748457245291553</c:v>
                </c:pt>
              </c:numCache>
            </c:numRef>
          </c:val>
          <c:extLst xmlns:c16r2="http://schemas.microsoft.com/office/drawing/2015/06/chart">
            <c:ext xmlns:c16="http://schemas.microsoft.com/office/drawing/2014/chart" uri="{C3380CC4-5D6E-409C-BE32-E72D297353CC}">
              <c16:uniqueId val="{00000002-43B9-4505-A881-86C453413989}"/>
            </c:ext>
          </c:extLst>
        </c:ser>
        <c:ser>
          <c:idx val="3"/>
          <c:order val="3"/>
          <c:tx>
            <c:strRef>
              <c:f>'Results tables and graphs'!$A$36</c:f>
              <c:strCache>
                <c:ptCount val="1"/>
                <c:pt idx="0">
                  <c:v>Reagents</c:v>
                </c:pt>
              </c:strCache>
            </c:strRef>
          </c:tx>
          <c:spPr>
            <a:solidFill>
              <a:schemeClr val="accent4"/>
            </a:solidFill>
            <a:ln>
              <a:noFill/>
            </a:ln>
            <a:effectLst/>
          </c:spPr>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graphs'!$B$36:$L$36</c:f>
              <c:numCache>
                <c:formatCode>_(* #,##0.00_);_(* \(#,##0.00\);_(* "-"??_);_(@_)</c:formatCode>
                <c:ptCount val="11"/>
                <c:pt idx="0">
                  <c:v>16.311966793602998</c:v>
                </c:pt>
                <c:pt idx="1">
                  <c:v>16.391443046003765</c:v>
                </c:pt>
                <c:pt idx="2">
                  <c:v>16.392580331164762</c:v>
                </c:pt>
                <c:pt idx="3">
                  <c:v>16.326932874507825</c:v>
                </c:pt>
                <c:pt idx="4">
                  <c:v>16.251599012690154</c:v>
                </c:pt>
                <c:pt idx="5">
                  <c:v>16.201118351764535</c:v>
                </c:pt>
                <c:pt idx="6">
                  <c:v>16.181143787332211</c:v>
                </c:pt>
                <c:pt idx="7">
                  <c:v>16.164571719068892</c:v>
                </c:pt>
                <c:pt idx="8">
                  <c:v>16.154106848234388</c:v>
                </c:pt>
                <c:pt idx="9">
                  <c:v>16.15725307042517</c:v>
                </c:pt>
                <c:pt idx="10">
                  <c:v>16.177340445821685</c:v>
                </c:pt>
              </c:numCache>
            </c:numRef>
          </c:val>
          <c:extLst xmlns:c16r2="http://schemas.microsoft.com/office/drawing/2015/06/chart">
            <c:ext xmlns:c16="http://schemas.microsoft.com/office/drawing/2014/chart" uri="{C3380CC4-5D6E-409C-BE32-E72D297353CC}">
              <c16:uniqueId val="{00000003-43B9-4505-A881-86C453413989}"/>
            </c:ext>
          </c:extLst>
        </c:ser>
        <c:ser>
          <c:idx val="4"/>
          <c:order val="4"/>
          <c:tx>
            <c:strRef>
              <c:f>'Results tables and graphs'!$A$37</c:f>
              <c:strCache>
                <c:ptCount val="1"/>
                <c:pt idx="0">
                  <c:v>Capital Costs</c:v>
                </c:pt>
              </c:strCache>
            </c:strRef>
          </c:tx>
          <c:spPr>
            <a:solidFill>
              <a:schemeClr val="accent5"/>
            </a:solidFill>
            <a:ln>
              <a:noFill/>
            </a:ln>
            <a:effectLst/>
          </c:spPr>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graphs'!$B$37:$L$37</c:f>
              <c:numCache>
                <c:formatCode>_(* #,##0.00_);_(* \(#,##0.00\);_(* "-"??_);_(@_)</c:formatCode>
                <c:ptCount val="11"/>
                <c:pt idx="0">
                  <c:v>0.10589295026540993</c:v>
                </c:pt>
                <c:pt idx="1">
                  <c:v>0.10640888895932979</c:v>
                </c:pt>
                <c:pt idx="2">
                  <c:v>0.10641627191213461</c:v>
                </c:pt>
                <c:pt idx="3">
                  <c:v>0.10599010608242301</c:v>
                </c:pt>
                <c:pt idx="4">
                  <c:v>0.10550105868650209</c:v>
                </c:pt>
                <c:pt idx="5">
                  <c:v>0.10517335166107716</c:v>
                </c:pt>
                <c:pt idx="6">
                  <c:v>0.10504368210100701</c:v>
                </c:pt>
                <c:pt idx="7">
                  <c:v>0.10493610064117403</c:v>
                </c:pt>
                <c:pt idx="8">
                  <c:v>0.10486816548284313</c:v>
                </c:pt>
                <c:pt idx="9">
                  <c:v>0.10488858992056961</c:v>
                </c:pt>
                <c:pt idx="10">
                  <c:v>0.10501899181941728</c:v>
                </c:pt>
              </c:numCache>
            </c:numRef>
          </c:val>
          <c:extLst xmlns:c16r2="http://schemas.microsoft.com/office/drawing/2015/06/chart">
            <c:ext xmlns:c16="http://schemas.microsoft.com/office/drawing/2014/chart" uri="{C3380CC4-5D6E-409C-BE32-E72D297353CC}">
              <c16:uniqueId val="{00000004-43B9-4505-A881-86C453413989}"/>
            </c:ext>
          </c:extLst>
        </c:ser>
        <c:ser>
          <c:idx val="5"/>
          <c:order val="5"/>
          <c:tx>
            <c:strRef>
              <c:f>'Results tables and graphs'!$A$38</c:f>
              <c:strCache>
                <c:ptCount val="1"/>
                <c:pt idx="0">
                  <c:v>Overheads</c:v>
                </c:pt>
              </c:strCache>
            </c:strRef>
          </c:tx>
          <c:spPr>
            <a:solidFill>
              <a:schemeClr val="accent6"/>
            </a:solidFill>
            <a:ln>
              <a:noFill/>
            </a:ln>
            <a:effectLst/>
          </c:spPr>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graphs'!$B$38:$L$38</c:f>
              <c:numCache>
                <c:formatCode>_(* #,##0.00_);_(* \(#,##0.00\);_(* "-"??_);_(@_)</c:formatCode>
                <c:ptCount val="11"/>
                <c:pt idx="0">
                  <c:v>0.49804484340302818</c:v>
                </c:pt>
                <c:pt idx="1">
                  <c:v>0.50047145070195442</c:v>
                </c:pt>
                <c:pt idx="2">
                  <c:v>0.5005061748414209</c:v>
                </c:pt>
                <c:pt idx="3">
                  <c:v>0.49850179500885933</c:v>
                </c:pt>
                <c:pt idx="4">
                  <c:v>0.49620166517861458</c:v>
                </c:pt>
                <c:pt idx="5">
                  <c:v>0.49466036527384522</c:v>
                </c:pt>
                <c:pt idx="6">
                  <c:v>0.49405049223151881</c:v>
                </c:pt>
                <c:pt idx="7">
                  <c:v>0.49354450584449977</c:v>
                </c:pt>
                <c:pt idx="8">
                  <c:v>0.49322498735712478</c:v>
                </c:pt>
                <c:pt idx="9">
                  <c:v>0.49332104933163384</c:v>
                </c:pt>
                <c:pt idx="10">
                  <c:v>0.49393436677276908</c:v>
                </c:pt>
              </c:numCache>
            </c:numRef>
          </c:val>
          <c:extLst xmlns:c16r2="http://schemas.microsoft.com/office/drawing/2015/06/chart">
            <c:ext xmlns:c16="http://schemas.microsoft.com/office/drawing/2014/chart" uri="{C3380CC4-5D6E-409C-BE32-E72D297353CC}">
              <c16:uniqueId val="{00000005-43B9-4505-A881-86C453413989}"/>
            </c:ext>
          </c:extLst>
        </c:ser>
        <c:ser>
          <c:idx val="6"/>
          <c:order val="6"/>
          <c:tx>
            <c:strRef>
              <c:f>'Results tables and graphs'!$A$39</c:f>
              <c:strCache>
                <c:ptCount val="1"/>
                <c:pt idx="0">
                  <c:v>Other</c:v>
                </c:pt>
              </c:strCache>
            </c:strRef>
          </c:tx>
          <c:invertIfNegative val="0"/>
          <c:cat>
            <c:numRef>
              <c:f>'Results tables and graphs'!$B$32:$L$32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graphs'!$B$39:$L$39</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34712704"/>
        <c:axId val="134722688"/>
      </c:barChart>
      <c:catAx>
        <c:axId val="13471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22688"/>
        <c:crosses val="autoZero"/>
        <c:auto val="1"/>
        <c:lblAlgn val="ctr"/>
        <c:lblOffset val="100"/>
        <c:noMultiLvlLbl val="0"/>
      </c:catAx>
      <c:valAx>
        <c:axId val="1347226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12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Costs by type (Test type 3)</a:t>
            </a:r>
          </a:p>
        </c:rich>
      </c:tx>
      <c:layout/>
      <c:overlay val="0"/>
      <c:spPr>
        <a:noFill/>
        <a:ln>
          <a:noFill/>
        </a:ln>
        <a:effectLst/>
      </c:spPr>
    </c:title>
    <c:autoTitleDeleted val="0"/>
    <c:plotArea>
      <c:layout/>
      <c:barChart>
        <c:barDir val="col"/>
        <c:grouping val="stacked"/>
        <c:varyColors val="0"/>
        <c:ser>
          <c:idx val="0"/>
          <c:order val="0"/>
          <c:tx>
            <c:strRef>
              <c:f>'Results tables and graphs'!$A$45</c:f>
              <c:strCache>
                <c:ptCount val="1"/>
                <c:pt idx="0">
                  <c:v>HR</c:v>
                </c:pt>
              </c:strCache>
            </c:strRef>
          </c:tx>
          <c:spPr>
            <a:solidFill>
              <a:schemeClr val="accent1"/>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graphs'!$B$45:$L$45</c:f>
              <c:numCache>
                <c:formatCode>_(* #,##0.00_);_(* \(#,##0.00\);_(* "-"??_);_(@_)</c:formatCode>
                <c:ptCount val="11"/>
                <c:pt idx="0">
                  <c:v>5.3914845656933386</c:v>
                </c:pt>
                <c:pt idx="1">
                  <c:v>5.4177533163338749</c:v>
                </c:pt>
                <c:pt idx="2">
                  <c:v>5.4181292155414873</c:v>
                </c:pt>
                <c:pt idx="3">
                  <c:v>5.396431203657249</c:v>
                </c:pt>
                <c:pt idx="4">
                  <c:v>5.371531609487934</c:v>
                </c:pt>
                <c:pt idx="5">
                  <c:v>5.3548465764879145</c:v>
                </c:pt>
                <c:pt idx="6">
                  <c:v>5.3482445181827458</c:v>
                </c:pt>
                <c:pt idx="7">
                  <c:v>5.3427670640293723</c:v>
                </c:pt>
                <c:pt idx="8">
                  <c:v>5.3393081807260838</c:v>
                </c:pt>
                <c:pt idx="9">
                  <c:v>5.340348080365195</c:v>
                </c:pt>
                <c:pt idx="10">
                  <c:v>5.3469874253188676</c:v>
                </c:pt>
              </c:numCache>
            </c:numRef>
          </c:val>
          <c:extLst xmlns:c16r2="http://schemas.microsoft.com/office/drawing/2015/06/chart">
            <c:ext xmlns:c16="http://schemas.microsoft.com/office/drawing/2014/chart" uri="{C3380CC4-5D6E-409C-BE32-E72D297353CC}">
              <c16:uniqueId val="{00000000-674B-4C86-B3E4-B9340521A1B2}"/>
            </c:ext>
          </c:extLst>
        </c:ser>
        <c:ser>
          <c:idx val="1"/>
          <c:order val="1"/>
          <c:tx>
            <c:strRef>
              <c:f>'Results tables and graphs'!$A$46</c:f>
              <c:strCache>
                <c:ptCount val="1"/>
                <c:pt idx="0">
                  <c:v>Equipment</c:v>
                </c:pt>
              </c:strCache>
            </c:strRef>
          </c:tx>
          <c:spPr>
            <a:solidFill>
              <a:schemeClr val="accent2"/>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graphs'!$B$46:$L$46</c:f>
              <c:numCache>
                <c:formatCode>_(* #,##0.00_);_(* \(#,##0.00\);_(* "-"??_);_(@_)</c:formatCode>
                <c:ptCount val="11"/>
                <c:pt idx="0">
                  <c:v>0.15585170068027213</c:v>
                </c:pt>
                <c:pt idx="1">
                  <c:v>0.15661105172954051</c:v>
                </c:pt>
                <c:pt idx="2">
                  <c:v>0.15662191785186302</c:v>
                </c:pt>
                <c:pt idx="3">
                  <c:v>0.15599469319558612</c:v>
                </c:pt>
                <c:pt idx="4">
                  <c:v>0.15527492036673868</c:v>
                </c:pt>
                <c:pt idx="5">
                  <c:v>0.15479260594345234</c:v>
                </c:pt>
                <c:pt idx="6">
                  <c:v>0.15460176017503482</c:v>
                </c:pt>
                <c:pt idx="7">
                  <c:v>0.15444342335058511</c:v>
                </c:pt>
                <c:pt idx="8">
                  <c:v>0.15434343737479242</c:v>
                </c:pt>
                <c:pt idx="9">
                  <c:v>0.15437349776452691</c:v>
                </c:pt>
                <c:pt idx="10">
                  <c:v>0.15456542137848236</c:v>
                </c:pt>
              </c:numCache>
            </c:numRef>
          </c:val>
          <c:extLst xmlns:c16r2="http://schemas.microsoft.com/office/drawing/2015/06/chart">
            <c:ext xmlns:c16="http://schemas.microsoft.com/office/drawing/2014/chart" uri="{C3380CC4-5D6E-409C-BE32-E72D297353CC}">
              <c16:uniqueId val="{00000001-674B-4C86-B3E4-B9340521A1B2}"/>
            </c:ext>
          </c:extLst>
        </c:ser>
        <c:ser>
          <c:idx val="2"/>
          <c:order val="2"/>
          <c:tx>
            <c:strRef>
              <c:f>'Results tables and graphs'!$A$47</c:f>
              <c:strCache>
                <c:ptCount val="1"/>
                <c:pt idx="0">
                  <c:v>Consumables</c:v>
                </c:pt>
              </c:strCache>
            </c:strRef>
          </c:tx>
          <c:spPr>
            <a:solidFill>
              <a:schemeClr val="accent3"/>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graphs'!$B$47:$L$47</c:f>
              <c:numCache>
                <c:formatCode>_(* #,##0.00_);_(* \(#,##0.00\);_(* "-"??_);_(@_)</c:formatCode>
                <c:ptCount val="11"/>
                <c:pt idx="0">
                  <c:v>2.9681331637054238</c:v>
                </c:pt>
                <c:pt idx="1">
                  <c:v>2.9825947000402233</c:v>
                </c:pt>
                <c:pt idx="2">
                  <c:v>2.9828016409839893</c:v>
                </c:pt>
                <c:pt idx="3">
                  <c:v>2.9708563988386474</c:v>
                </c:pt>
                <c:pt idx="4">
                  <c:v>2.9571486138461762</c:v>
                </c:pt>
                <c:pt idx="5">
                  <c:v>2.9479631289984587</c:v>
                </c:pt>
                <c:pt idx="6">
                  <c:v>2.9443285478426526</c:v>
                </c:pt>
                <c:pt idx="7">
                  <c:v>2.9413130864929613</c:v>
                </c:pt>
                <c:pt idx="8">
                  <c:v>2.9394088936650333</c:v>
                </c:pt>
                <c:pt idx="9">
                  <c:v>2.9399813817373186</c:v>
                </c:pt>
                <c:pt idx="10">
                  <c:v>2.9436364900293226</c:v>
                </c:pt>
              </c:numCache>
            </c:numRef>
          </c:val>
          <c:extLst xmlns:c16r2="http://schemas.microsoft.com/office/drawing/2015/06/chart">
            <c:ext xmlns:c16="http://schemas.microsoft.com/office/drawing/2014/chart" uri="{C3380CC4-5D6E-409C-BE32-E72D297353CC}">
              <c16:uniqueId val="{00000002-674B-4C86-B3E4-B9340521A1B2}"/>
            </c:ext>
          </c:extLst>
        </c:ser>
        <c:ser>
          <c:idx val="3"/>
          <c:order val="3"/>
          <c:tx>
            <c:strRef>
              <c:f>'Results tables and graphs'!$A$48</c:f>
              <c:strCache>
                <c:ptCount val="1"/>
                <c:pt idx="0">
                  <c:v>Reagents</c:v>
                </c:pt>
              </c:strCache>
            </c:strRef>
          </c:tx>
          <c:spPr>
            <a:solidFill>
              <a:schemeClr val="accent4"/>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graphs'!$B$48:$L$48</c:f>
              <c:numCache>
                <c:formatCode>_(* #,##0.00_);_(* \(#,##0.00\);_(* "-"??_);_(@_)</c:formatCode>
                <c:ptCount val="11"/>
                <c:pt idx="0">
                  <c:v>20.342261904761909</c:v>
                </c:pt>
                <c:pt idx="1">
                  <c:v>20.441374829769785</c:v>
                </c:pt>
                <c:pt idx="2">
                  <c:v>20.442793110771589</c:v>
                </c:pt>
                <c:pt idx="3">
                  <c:v>20.360925744708741</c:v>
                </c:pt>
                <c:pt idx="4">
                  <c:v>20.266978695479018</c:v>
                </c:pt>
                <c:pt idx="5">
                  <c:v>20.204025476001082</c:v>
                </c:pt>
                <c:pt idx="6">
                  <c:v>20.179115676572398</c:v>
                </c:pt>
                <c:pt idx="7">
                  <c:v>20.158449048373505</c:v>
                </c:pt>
                <c:pt idx="8">
                  <c:v>20.145398559366967</c:v>
                </c:pt>
                <c:pt idx="9">
                  <c:v>20.149322137475316</c:v>
                </c:pt>
                <c:pt idx="10">
                  <c:v>20.174372620747228</c:v>
                </c:pt>
              </c:numCache>
            </c:numRef>
          </c:val>
          <c:extLst xmlns:c16r2="http://schemas.microsoft.com/office/drawing/2015/06/chart">
            <c:ext xmlns:c16="http://schemas.microsoft.com/office/drawing/2014/chart" uri="{C3380CC4-5D6E-409C-BE32-E72D297353CC}">
              <c16:uniqueId val="{00000003-674B-4C86-B3E4-B9340521A1B2}"/>
            </c:ext>
          </c:extLst>
        </c:ser>
        <c:ser>
          <c:idx val="4"/>
          <c:order val="4"/>
          <c:tx>
            <c:strRef>
              <c:f>'Results tables and graphs'!$A$49</c:f>
              <c:strCache>
                <c:ptCount val="1"/>
                <c:pt idx="0">
                  <c:v>Capital Costs</c:v>
                </c:pt>
              </c:strCache>
            </c:strRef>
          </c:tx>
          <c:spPr>
            <a:solidFill>
              <a:schemeClr val="accent5"/>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graphs'!$B$49:$L$49</c:f>
              <c:numCache>
                <c:formatCode>_(* #,##0.00_);_(* \(#,##0.00\);_(* "-"??_);_(@_)</c:formatCode>
                <c:ptCount val="11"/>
                <c:pt idx="0">
                  <c:v>0.11723862350813243</c:v>
                </c:pt>
                <c:pt idx="1">
                  <c:v>0.11780984134782939</c:v>
                </c:pt>
                <c:pt idx="2">
                  <c:v>0.11781801533129188</c:v>
                </c:pt>
                <c:pt idx="3">
                  <c:v>0.11734618887696835</c:v>
                </c:pt>
                <c:pt idx="4">
                  <c:v>0.11680474354577018</c:v>
                </c:pt>
                <c:pt idx="5">
                  <c:v>0.11644192505333543</c:v>
                </c:pt>
                <c:pt idx="6">
                  <c:v>0.11629836232611487</c:v>
                </c:pt>
                <c:pt idx="7">
                  <c:v>0.11617925428129978</c:v>
                </c:pt>
                <c:pt idx="8">
                  <c:v>0.11610404035600486</c:v>
                </c:pt>
                <c:pt idx="9">
                  <c:v>0.1161266531263449</c:v>
                </c:pt>
                <c:pt idx="10">
                  <c:v>0.11627102665721194</c:v>
                </c:pt>
              </c:numCache>
            </c:numRef>
          </c:val>
          <c:extLst xmlns:c16r2="http://schemas.microsoft.com/office/drawing/2015/06/chart">
            <c:ext xmlns:c16="http://schemas.microsoft.com/office/drawing/2014/chart" uri="{C3380CC4-5D6E-409C-BE32-E72D297353CC}">
              <c16:uniqueId val="{00000004-674B-4C86-B3E4-B9340521A1B2}"/>
            </c:ext>
          </c:extLst>
        </c:ser>
        <c:ser>
          <c:idx val="5"/>
          <c:order val="5"/>
          <c:tx>
            <c:strRef>
              <c:f>'Results tables and graphs'!$A$50</c:f>
              <c:strCache>
                <c:ptCount val="1"/>
                <c:pt idx="0">
                  <c:v>Overheads</c:v>
                </c:pt>
              </c:strCache>
            </c:strRef>
          </c:tx>
          <c:spPr>
            <a:solidFill>
              <a:schemeClr val="accent6"/>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graphs'!$B$50:$L$50</c:f>
              <c:numCache>
                <c:formatCode>_(* #,##0.00_);_(* \(#,##0.00\);_(* "-"??_);_(@_)</c:formatCode>
                <c:ptCount val="11"/>
                <c:pt idx="0">
                  <c:v>0.52719184392388829</c:v>
                </c:pt>
                <c:pt idx="1">
                  <c:v>0.52976046318246539</c:v>
                </c:pt>
                <c:pt idx="2">
                  <c:v>0.52979721947731817</c:v>
                </c:pt>
                <c:pt idx="3">
                  <c:v>0.52767553763712116</c:v>
                </c:pt>
                <c:pt idx="4">
                  <c:v>0.5252407976683553</c:v>
                </c:pt>
                <c:pt idx="5">
                  <c:v>0.52360929651018029</c:v>
                </c:pt>
                <c:pt idx="6">
                  <c:v>0.52296373196312729</c:v>
                </c:pt>
                <c:pt idx="7">
                  <c:v>0.52242813381387165</c:v>
                </c:pt>
                <c:pt idx="8">
                  <c:v>0.5220899161960042</c:v>
                </c:pt>
                <c:pt idx="9">
                  <c:v>0.52219159999043196</c:v>
                </c:pt>
                <c:pt idx="10">
                  <c:v>0.5228408105123068</c:v>
                </c:pt>
              </c:numCache>
            </c:numRef>
          </c:val>
          <c:extLst xmlns:c16r2="http://schemas.microsoft.com/office/drawing/2015/06/chart">
            <c:ext xmlns:c16="http://schemas.microsoft.com/office/drawing/2014/chart" uri="{C3380CC4-5D6E-409C-BE32-E72D297353CC}">
              <c16:uniqueId val="{00000005-674B-4C86-B3E4-B9340521A1B2}"/>
            </c:ext>
          </c:extLst>
        </c:ser>
        <c:ser>
          <c:idx val="6"/>
          <c:order val="6"/>
          <c:tx>
            <c:strRef>
              <c:f>'Results tables and graphs'!$A$51</c:f>
              <c:strCache>
                <c:ptCount val="1"/>
                <c:pt idx="0">
                  <c:v>Other</c:v>
                </c:pt>
              </c:strCache>
            </c:strRef>
          </c:tx>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graphs'!$B$51:$L$51</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35223168"/>
        <c:axId val="135224704"/>
      </c:barChart>
      <c:catAx>
        <c:axId val="13522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224704"/>
        <c:crosses val="autoZero"/>
        <c:auto val="1"/>
        <c:lblAlgn val="ctr"/>
        <c:lblOffset val="100"/>
        <c:noMultiLvlLbl val="0"/>
      </c:catAx>
      <c:valAx>
        <c:axId val="13522470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223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Staff</a:t>
            </a:r>
            <a:r>
              <a:rPr lang="en-US" baseline="0"/>
              <a:t> required per test</a:t>
            </a:r>
            <a:endParaRPr lang="en-US"/>
          </a:p>
        </c:rich>
      </c:tx>
      <c:layout/>
      <c:overlay val="0"/>
      <c:spPr>
        <a:noFill/>
        <a:ln>
          <a:noFill/>
        </a:ln>
        <a:effectLst/>
      </c:spPr>
    </c:title>
    <c:autoTitleDeleted val="0"/>
    <c:plotArea>
      <c:layout>
        <c:manualLayout>
          <c:layoutTarget val="inner"/>
          <c:xMode val="edge"/>
          <c:yMode val="edge"/>
          <c:x val="4.8197501510473598E-2"/>
          <c:y val="0.14545098039215687"/>
          <c:w val="0.7313806999603073"/>
          <c:h val="0.6774182491894396"/>
        </c:manualLayout>
      </c:layout>
      <c:barChart>
        <c:barDir val="col"/>
        <c:grouping val="stacked"/>
        <c:varyColors val="0"/>
        <c:ser>
          <c:idx val="0"/>
          <c:order val="0"/>
          <c:tx>
            <c:strRef>
              <c:f>'Results tables and graphs'!$A$68</c:f>
              <c:strCache>
                <c:ptCount val="1"/>
                <c:pt idx="0">
                  <c:v>Nurse  </c:v>
                </c:pt>
              </c:strCache>
            </c:strRef>
          </c:tx>
          <c:spPr>
            <a:solidFill>
              <a:schemeClr val="accent1"/>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graphs'!$B$68:$E$68</c:f>
              <c:numCache>
                <c:formatCode>0.0</c:formatCode>
                <c:ptCount val="4"/>
                <c:pt idx="0">
                  <c:v>4.0364583333333339</c:v>
                </c:pt>
                <c:pt idx="1">
                  <c:v>4.0364583333333339</c:v>
                </c:pt>
                <c:pt idx="2">
                  <c:v>3.6458333333333335</c:v>
                </c:pt>
                <c:pt idx="3">
                  <c:v>3.6458333333333335</c:v>
                </c:pt>
              </c:numCache>
            </c:numRef>
          </c:val>
          <c:extLst xmlns:c16r2="http://schemas.microsoft.com/office/drawing/2015/06/chart">
            <c:ext xmlns:c16="http://schemas.microsoft.com/office/drawing/2014/chart" uri="{C3380CC4-5D6E-409C-BE32-E72D297353CC}">
              <c16:uniqueId val="{00000000-1F1A-4B0F-AFE5-BEFEBBB20383}"/>
            </c:ext>
          </c:extLst>
        </c:ser>
        <c:ser>
          <c:idx val="1"/>
          <c:order val="1"/>
          <c:tx>
            <c:strRef>
              <c:f>'Results tables and graphs'!$A$69</c:f>
              <c:strCache>
                <c:ptCount val="1"/>
                <c:pt idx="0">
                  <c:v>Doctor</c:v>
                </c:pt>
              </c:strCache>
            </c:strRef>
          </c:tx>
          <c:spPr>
            <a:solidFill>
              <a:schemeClr val="accent2"/>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graphs'!$B$69:$E$69</c:f>
              <c:numCache>
                <c:formatCode>0.0</c:formatCode>
                <c:ptCount val="4"/>
                <c:pt idx="0">
                  <c:v>2.018229166666667</c:v>
                </c:pt>
                <c:pt idx="1">
                  <c:v>2.018229166666667</c:v>
                </c:pt>
                <c:pt idx="2">
                  <c:v>1.8229166666666667</c:v>
                </c:pt>
                <c:pt idx="3">
                  <c:v>1.8229166666666667</c:v>
                </c:pt>
              </c:numCache>
            </c:numRef>
          </c:val>
          <c:extLst xmlns:c16r2="http://schemas.microsoft.com/office/drawing/2015/06/chart">
            <c:ext xmlns:c16="http://schemas.microsoft.com/office/drawing/2014/chart" uri="{C3380CC4-5D6E-409C-BE32-E72D297353CC}">
              <c16:uniqueId val="{00000001-1F1A-4B0F-AFE5-BEFEBBB20383}"/>
            </c:ext>
          </c:extLst>
        </c:ser>
        <c:ser>
          <c:idx val="2"/>
          <c:order val="2"/>
          <c:tx>
            <c:strRef>
              <c:f>'Results tables and graphs'!$A$70</c:f>
              <c:strCache>
                <c:ptCount val="1"/>
                <c:pt idx="0">
                  <c:v>Clinical Officer</c:v>
                </c:pt>
              </c:strCache>
            </c:strRef>
          </c:tx>
          <c:spPr>
            <a:solidFill>
              <a:schemeClr val="accent3"/>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graphs'!$B$70:$E$70</c:f>
              <c:numCache>
                <c:formatCode>0.0</c:formatCode>
                <c:ptCount val="4"/>
                <c:pt idx="0">
                  <c:v>0.40364583333333331</c:v>
                </c:pt>
                <c:pt idx="1">
                  <c:v>0.40364583333333331</c:v>
                </c:pt>
                <c:pt idx="2">
                  <c:v>0.36458333333333337</c:v>
                </c:pt>
                <c:pt idx="3">
                  <c:v>0.36458333333333337</c:v>
                </c:pt>
              </c:numCache>
            </c:numRef>
          </c:val>
          <c:extLst xmlns:c16r2="http://schemas.microsoft.com/office/drawing/2015/06/chart">
            <c:ext xmlns:c16="http://schemas.microsoft.com/office/drawing/2014/chart" uri="{C3380CC4-5D6E-409C-BE32-E72D297353CC}">
              <c16:uniqueId val="{00000002-1F1A-4B0F-AFE5-BEFEBBB20383}"/>
            </c:ext>
          </c:extLst>
        </c:ser>
        <c:ser>
          <c:idx val="3"/>
          <c:order val="3"/>
          <c:tx>
            <c:strRef>
              <c:f>'Results tables and graphs'!$A$71</c:f>
              <c:strCache>
                <c:ptCount val="1"/>
                <c:pt idx="0">
                  <c:v>Nurse Assistant </c:v>
                </c:pt>
              </c:strCache>
            </c:strRef>
          </c:tx>
          <c:spPr>
            <a:solidFill>
              <a:schemeClr val="accent4"/>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graphs'!$B$71:$E$71</c:f>
              <c:numCache>
                <c:formatCode>0.0</c:formatCode>
                <c:ptCount val="4"/>
                <c:pt idx="0">
                  <c:v>0.80729166666666663</c:v>
                </c:pt>
                <c:pt idx="1">
                  <c:v>0.80729166666666663</c:v>
                </c:pt>
                <c:pt idx="2">
                  <c:v>0.72916666666666674</c:v>
                </c:pt>
                <c:pt idx="3">
                  <c:v>0.72916666666666674</c:v>
                </c:pt>
              </c:numCache>
            </c:numRef>
          </c:val>
          <c:extLst xmlns:c16r2="http://schemas.microsoft.com/office/drawing/2015/06/chart">
            <c:ext xmlns:c16="http://schemas.microsoft.com/office/drawing/2014/chart" uri="{C3380CC4-5D6E-409C-BE32-E72D297353CC}">
              <c16:uniqueId val="{00000003-1F1A-4B0F-AFE5-BEFEBBB20383}"/>
            </c:ext>
          </c:extLst>
        </c:ser>
        <c:ser>
          <c:idx val="4"/>
          <c:order val="4"/>
          <c:tx>
            <c:strRef>
              <c:f>'Results tables and graphs'!$A$72</c:f>
              <c:strCache>
                <c:ptCount val="1"/>
                <c:pt idx="0">
                  <c:v>Phlebotomist</c:v>
                </c:pt>
              </c:strCache>
            </c:strRef>
          </c:tx>
          <c:spPr>
            <a:solidFill>
              <a:schemeClr val="accent5"/>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graphs'!$B$72:$E$72</c:f>
              <c:numCache>
                <c:formatCode>0.0</c:formatCode>
                <c:ptCount val="4"/>
                <c:pt idx="0">
                  <c:v>0.80729166666666663</c:v>
                </c:pt>
                <c:pt idx="1">
                  <c:v>0.80729166666666663</c:v>
                </c:pt>
                <c:pt idx="2">
                  <c:v>0.72916666666666674</c:v>
                </c:pt>
                <c:pt idx="3">
                  <c:v>0.72916666666666674</c:v>
                </c:pt>
              </c:numCache>
            </c:numRef>
          </c:val>
          <c:extLst xmlns:c16r2="http://schemas.microsoft.com/office/drawing/2015/06/chart">
            <c:ext xmlns:c16="http://schemas.microsoft.com/office/drawing/2014/chart" uri="{C3380CC4-5D6E-409C-BE32-E72D297353CC}">
              <c16:uniqueId val="{00000004-1F1A-4B0F-AFE5-BEFEBBB20383}"/>
            </c:ext>
          </c:extLst>
        </c:ser>
        <c:ser>
          <c:idx val="5"/>
          <c:order val="5"/>
          <c:tx>
            <c:strRef>
              <c:f>'Results tables and graphs'!$A$73</c:f>
              <c:strCache>
                <c:ptCount val="1"/>
                <c:pt idx="0">
                  <c:v>Lab Technologist</c:v>
                </c:pt>
              </c:strCache>
            </c:strRef>
          </c:tx>
          <c:spPr>
            <a:solidFill>
              <a:schemeClr val="accent6"/>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graphs'!$B$73:$E$73</c:f>
              <c:numCache>
                <c:formatCode>0.0</c:formatCode>
                <c:ptCount val="4"/>
                <c:pt idx="0">
                  <c:v>4.84375</c:v>
                </c:pt>
                <c:pt idx="1">
                  <c:v>4.84375</c:v>
                </c:pt>
                <c:pt idx="2">
                  <c:v>4.375</c:v>
                </c:pt>
                <c:pt idx="3">
                  <c:v>4.375</c:v>
                </c:pt>
              </c:numCache>
            </c:numRef>
          </c:val>
          <c:extLst xmlns:c16r2="http://schemas.microsoft.com/office/drawing/2015/06/chart">
            <c:ext xmlns:c16="http://schemas.microsoft.com/office/drawing/2014/chart" uri="{C3380CC4-5D6E-409C-BE32-E72D297353CC}">
              <c16:uniqueId val="{00000005-1F1A-4B0F-AFE5-BEFEBBB20383}"/>
            </c:ext>
          </c:extLst>
        </c:ser>
        <c:ser>
          <c:idx val="6"/>
          <c:order val="6"/>
          <c:tx>
            <c:strRef>
              <c:f>'Results tables and graphs'!$A$74</c:f>
              <c:strCache>
                <c:ptCount val="1"/>
                <c:pt idx="0">
                  <c:v>Assistant Research Officer</c:v>
                </c:pt>
              </c:strCache>
            </c:strRef>
          </c:tx>
          <c:spPr>
            <a:solidFill>
              <a:schemeClr val="accent1">
                <a:lumMod val="60000"/>
              </a:schemeClr>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graphs'!$B$74:$E$74</c:f>
              <c:numCache>
                <c:formatCode>0.0</c:formatCode>
                <c:ptCount val="4"/>
                <c:pt idx="0">
                  <c:v>4.84375</c:v>
                </c:pt>
                <c:pt idx="1">
                  <c:v>4.84375</c:v>
                </c:pt>
                <c:pt idx="2">
                  <c:v>4.375</c:v>
                </c:pt>
                <c:pt idx="3">
                  <c:v>4.375</c:v>
                </c:pt>
              </c:numCache>
            </c:numRef>
          </c:val>
          <c:extLst xmlns:c16r2="http://schemas.microsoft.com/office/drawing/2015/06/chart">
            <c:ext xmlns:c16="http://schemas.microsoft.com/office/drawing/2014/chart" uri="{C3380CC4-5D6E-409C-BE32-E72D297353CC}">
              <c16:uniqueId val="{00000006-1F1A-4B0F-AFE5-BEFEBBB20383}"/>
            </c:ext>
          </c:extLst>
        </c:ser>
        <c:ser>
          <c:idx val="7"/>
          <c:order val="7"/>
          <c:tx>
            <c:strRef>
              <c:f>'Results tables and graphs'!$A$75</c:f>
              <c:strCache>
                <c:ptCount val="1"/>
                <c:pt idx="0">
                  <c:v>Lab Manager</c:v>
                </c:pt>
              </c:strCache>
            </c:strRef>
          </c:tx>
          <c:spPr>
            <a:solidFill>
              <a:schemeClr val="accent2">
                <a:lumMod val="60000"/>
              </a:schemeClr>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graphs'!$B$75:$E$75</c:f>
              <c:numCache>
                <c:formatCode>0.0</c:formatCode>
                <c:ptCount val="4"/>
                <c:pt idx="0">
                  <c:v>0.80729166666666663</c:v>
                </c:pt>
                <c:pt idx="1">
                  <c:v>0.80729166666666663</c:v>
                </c:pt>
                <c:pt idx="2">
                  <c:v>0.72916666666666674</c:v>
                </c:pt>
                <c:pt idx="3">
                  <c:v>0.72916666666666674</c:v>
                </c:pt>
              </c:numCache>
            </c:numRef>
          </c:val>
          <c:extLst xmlns:c16r2="http://schemas.microsoft.com/office/drawing/2015/06/chart">
            <c:ext xmlns:c16="http://schemas.microsoft.com/office/drawing/2014/chart" uri="{C3380CC4-5D6E-409C-BE32-E72D297353CC}">
              <c16:uniqueId val="{00000007-1F1A-4B0F-AFE5-BEFEBBB20383}"/>
            </c:ext>
          </c:extLst>
        </c:ser>
        <c:ser>
          <c:idx val="8"/>
          <c:order val="8"/>
          <c:tx>
            <c:strRef>
              <c:f>'Results tables and graphs'!$A$76</c:f>
              <c:strCache>
                <c:ptCount val="1"/>
                <c:pt idx="0">
                  <c:v>Other 1</c:v>
                </c:pt>
              </c:strCache>
            </c:strRef>
          </c:tx>
          <c:spPr>
            <a:solidFill>
              <a:schemeClr val="accent3">
                <a:lumMod val="60000"/>
              </a:schemeClr>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graphs'!$B$76:$E$76</c:f>
              <c:numCache>
                <c:formatCode>0.0</c:formatCode>
                <c:ptCount val="4"/>
              </c:numCache>
            </c:numRef>
          </c:val>
          <c:extLst xmlns:c16r2="http://schemas.microsoft.com/office/drawing/2015/06/chart">
            <c:ext xmlns:c16="http://schemas.microsoft.com/office/drawing/2014/chart" uri="{C3380CC4-5D6E-409C-BE32-E72D297353CC}">
              <c16:uniqueId val="{00000008-1F1A-4B0F-AFE5-BEFEBBB20383}"/>
            </c:ext>
          </c:extLst>
        </c:ser>
        <c:ser>
          <c:idx val="9"/>
          <c:order val="9"/>
          <c:tx>
            <c:strRef>
              <c:f>'Results tables and graphs'!$A$77</c:f>
              <c:strCache>
                <c:ptCount val="1"/>
                <c:pt idx="0">
                  <c:v>Other 2</c:v>
                </c:pt>
              </c:strCache>
            </c:strRef>
          </c:tx>
          <c:spPr>
            <a:solidFill>
              <a:schemeClr val="accent4">
                <a:lumMod val="60000"/>
              </a:schemeClr>
            </a:solidFill>
            <a:ln>
              <a:noFill/>
            </a:ln>
            <a:effectLst/>
          </c:spPr>
          <c:invertIfNegative val="0"/>
          <c:cat>
            <c:strRef>
              <c:f>'Results tables and graphs'!$B$67:$E$67</c:f>
              <c:strCache>
                <c:ptCount val="4"/>
                <c:pt idx="0">
                  <c:v>Abbott M2000 RealTime HIV-1 Assay</c:v>
                </c:pt>
                <c:pt idx="1">
                  <c:v>Abbott M2000 RealTime HIV-1 Assay</c:v>
                </c:pt>
                <c:pt idx="2">
                  <c:v>TaqMan HIV-1 Monitor Test v1.5 48</c:v>
                </c:pt>
                <c:pt idx="3">
                  <c:v>TaqMan HIV-1 Monitor Test v1.5 48</c:v>
                </c:pt>
              </c:strCache>
            </c:strRef>
          </c:cat>
          <c:val>
            <c:numRef>
              <c:f>'Results tables and graphs'!$B$77:$E$77</c:f>
              <c:numCache>
                <c:formatCode>0.0</c:formatCode>
                <c:ptCount val="4"/>
              </c:numCache>
            </c:numRef>
          </c:val>
          <c:extLst xmlns:c16r2="http://schemas.microsoft.com/office/drawing/2015/06/chart">
            <c:ext xmlns:c16="http://schemas.microsoft.com/office/drawing/2014/chart" uri="{C3380CC4-5D6E-409C-BE32-E72D297353CC}">
              <c16:uniqueId val="{00000009-1F1A-4B0F-AFE5-BEFEBBB20383}"/>
            </c:ext>
          </c:extLst>
        </c:ser>
        <c:dLbls>
          <c:showLegendKey val="0"/>
          <c:showVal val="0"/>
          <c:showCatName val="0"/>
          <c:showSerName val="0"/>
          <c:showPercent val="0"/>
          <c:showBubbleSize val="0"/>
        </c:dLbls>
        <c:gapWidth val="150"/>
        <c:overlap val="100"/>
        <c:axId val="135197824"/>
        <c:axId val="135199360"/>
      </c:barChart>
      <c:catAx>
        <c:axId val="13519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199360"/>
        <c:crosses val="autoZero"/>
        <c:auto val="1"/>
        <c:lblAlgn val="ctr"/>
        <c:lblOffset val="100"/>
        <c:noMultiLvlLbl val="0"/>
      </c:catAx>
      <c:valAx>
        <c:axId val="13519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197824"/>
        <c:crosses val="autoZero"/>
        <c:crossBetween val="between"/>
      </c:valAx>
      <c:spPr>
        <a:noFill/>
        <a:ln>
          <a:noFill/>
        </a:ln>
        <a:effectLst/>
      </c:spPr>
    </c:plotArea>
    <c:legend>
      <c:legendPos val="r"/>
      <c:layout>
        <c:manualLayout>
          <c:xMode val="edge"/>
          <c:yMode val="edge"/>
          <c:x val="0.84511652643866497"/>
          <c:y val="1.8916813480506708E-2"/>
          <c:w val="0.14540473848764932"/>
          <c:h val="0.9627143182444661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FTEs required for viral load testing strategy</a:t>
            </a:r>
          </a:p>
        </c:rich>
      </c:tx>
      <c:layout/>
      <c:overlay val="0"/>
      <c:spPr>
        <a:noFill/>
        <a:ln>
          <a:noFill/>
        </a:ln>
        <a:effectLst/>
      </c:spPr>
    </c:title>
    <c:autoTitleDeleted val="0"/>
    <c:plotArea>
      <c:layout/>
      <c:barChart>
        <c:barDir val="col"/>
        <c:grouping val="stacked"/>
        <c:varyColors val="0"/>
        <c:ser>
          <c:idx val="2"/>
          <c:order val="0"/>
          <c:tx>
            <c:strRef>
              <c:f>'Results tables and graphs'!$A$83</c:f>
              <c:strCache>
                <c:ptCount val="1"/>
                <c:pt idx="0">
                  <c:v>Nurse  </c:v>
                </c:pt>
              </c:strCache>
            </c:strRef>
          </c:tx>
          <c:spPr>
            <a:solidFill>
              <a:schemeClr val="accent3"/>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graphs'!$B$83:$L$83</c:f>
              <c:numCache>
                <c:formatCode>_(* #,##0_);_(* \(#,##0\);_(* "-"??_);_(@_)</c:formatCode>
                <c:ptCount val="11"/>
                <c:pt idx="0">
                  <c:v>61.458333333333336</c:v>
                </c:pt>
                <c:pt idx="1">
                  <c:v>61.759240824992261</c:v>
                </c:pt>
                <c:pt idx="2">
                  <c:v>61.763526154940919</c:v>
                </c:pt>
                <c:pt idx="3">
                  <c:v>61.51716801368125</c:v>
                </c:pt>
                <c:pt idx="4">
                  <c:v>61.23462622180233</c:v>
                </c:pt>
                <c:pt idx="5">
                  <c:v>61.045008426705138</c:v>
                </c:pt>
                <c:pt idx="6">
                  <c:v>60.969837939710793</c:v>
                </c:pt>
                <c:pt idx="7">
                  <c:v>60.907459001510588</c:v>
                </c:pt>
                <c:pt idx="8">
                  <c:v>60.868053298298356</c:v>
                </c:pt>
                <c:pt idx="9">
                  <c:v>60.879910451840566</c:v>
                </c:pt>
                <c:pt idx="10">
                  <c:v>60.955693128827576</c:v>
                </c:pt>
              </c:numCache>
            </c:numRef>
          </c:val>
          <c:extLst xmlns:c16r2="http://schemas.microsoft.com/office/drawing/2015/06/chart">
            <c:ext xmlns:c16="http://schemas.microsoft.com/office/drawing/2014/chart" uri="{C3380CC4-5D6E-409C-BE32-E72D297353CC}">
              <c16:uniqueId val="{00000000-5D04-4F27-8A6B-0CA7059A2610}"/>
            </c:ext>
          </c:extLst>
        </c:ser>
        <c:ser>
          <c:idx val="3"/>
          <c:order val="1"/>
          <c:tx>
            <c:strRef>
              <c:f>'Results tables and graphs'!$A$84</c:f>
              <c:strCache>
                <c:ptCount val="1"/>
                <c:pt idx="0">
                  <c:v>Doctor</c:v>
                </c:pt>
              </c:strCache>
            </c:strRef>
          </c:tx>
          <c:spPr>
            <a:solidFill>
              <a:schemeClr val="accent4"/>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graphs'!$B$84:$L$84</c:f>
              <c:numCache>
                <c:formatCode>_(* #,##0_);_(* \(#,##0\);_(* "-"??_);_(@_)</c:formatCode>
                <c:ptCount val="11"/>
                <c:pt idx="0">
                  <c:v>30.729166666666668</c:v>
                </c:pt>
                <c:pt idx="1">
                  <c:v>30.879620412496131</c:v>
                </c:pt>
                <c:pt idx="2">
                  <c:v>30.88176307747046</c:v>
                </c:pt>
                <c:pt idx="3">
                  <c:v>30.758584006840625</c:v>
                </c:pt>
                <c:pt idx="4">
                  <c:v>30.617313110901165</c:v>
                </c:pt>
                <c:pt idx="5">
                  <c:v>30.522504213352569</c:v>
                </c:pt>
                <c:pt idx="6">
                  <c:v>30.484918969855396</c:v>
                </c:pt>
                <c:pt idx="7">
                  <c:v>30.453729500755294</c:v>
                </c:pt>
                <c:pt idx="8">
                  <c:v>30.434026649149178</c:v>
                </c:pt>
                <c:pt idx="9">
                  <c:v>30.439955225920283</c:v>
                </c:pt>
                <c:pt idx="10">
                  <c:v>30.477846564413788</c:v>
                </c:pt>
              </c:numCache>
            </c:numRef>
          </c:val>
          <c:extLst xmlns:c16r2="http://schemas.microsoft.com/office/drawing/2015/06/chart">
            <c:ext xmlns:c16="http://schemas.microsoft.com/office/drawing/2014/chart" uri="{C3380CC4-5D6E-409C-BE32-E72D297353CC}">
              <c16:uniqueId val="{00000001-5D04-4F27-8A6B-0CA7059A2610}"/>
            </c:ext>
          </c:extLst>
        </c:ser>
        <c:ser>
          <c:idx val="4"/>
          <c:order val="2"/>
          <c:tx>
            <c:strRef>
              <c:f>'Results tables and graphs'!$A$85</c:f>
              <c:strCache>
                <c:ptCount val="1"/>
                <c:pt idx="0">
                  <c:v>Clinical Officer</c:v>
                </c:pt>
              </c:strCache>
            </c:strRef>
          </c:tx>
          <c:spPr>
            <a:solidFill>
              <a:schemeClr val="accent5"/>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graphs'!$B$85:$L$85</c:f>
              <c:numCache>
                <c:formatCode>_(* #,##0_);_(* \(#,##0\);_(* "-"??_);_(@_)</c:formatCode>
                <c:ptCount val="11"/>
                <c:pt idx="0">
                  <c:v>6.1458333333333339</c:v>
                </c:pt>
                <c:pt idx="1">
                  <c:v>6.1759240824992254</c:v>
                </c:pt>
                <c:pt idx="2">
                  <c:v>6.1763526154940926</c:v>
                </c:pt>
                <c:pt idx="3">
                  <c:v>6.1517168013681252</c:v>
                </c:pt>
                <c:pt idx="4">
                  <c:v>6.1234626221802335</c:v>
                </c:pt>
                <c:pt idx="5">
                  <c:v>6.1045008426705127</c:v>
                </c:pt>
                <c:pt idx="6">
                  <c:v>6.0969837939710789</c:v>
                </c:pt>
                <c:pt idx="7">
                  <c:v>6.0907459001510578</c:v>
                </c:pt>
                <c:pt idx="8">
                  <c:v>6.0868053298298355</c:v>
                </c:pt>
                <c:pt idx="9">
                  <c:v>6.0879910451840562</c:v>
                </c:pt>
                <c:pt idx="10">
                  <c:v>6.0955693128827582</c:v>
                </c:pt>
              </c:numCache>
            </c:numRef>
          </c:val>
          <c:extLst xmlns:c16r2="http://schemas.microsoft.com/office/drawing/2015/06/chart">
            <c:ext xmlns:c16="http://schemas.microsoft.com/office/drawing/2014/chart" uri="{C3380CC4-5D6E-409C-BE32-E72D297353CC}">
              <c16:uniqueId val="{00000002-5D04-4F27-8A6B-0CA7059A2610}"/>
            </c:ext>
          </c:extLst>
        </c:ser>
        <c:ser>
          <c:idx val="5"/>
          <c:order val="3"/>
          <c:tx>
            <c:strRef>
              <c:f>'Results tables and graphs'!$A$86</c:f>
              <c:strCache>
                <c:ptCount val="1"/>
                <c:pt idx="0">
                  <c:v>Nurse Assistant </c:v>
                </c:pt>
              </c:strCache>
            </c:strRef>
          </c:tx>
          <c:spPr>
            <a:solidFill>
              <a:schemeClr val="accent6"/>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graphs'!$B$86:$L$86</c:f>
              <c:numCache>
                <c:formatCode>_(* #,##0_);_(* \(#,##0\);_(* "-"??_);_(@_)</c:formatCode>
                <c:ptCount val="11"/>
                <c:pt idx="0">
                  <c:v>12.291666666666668</c:v>
                </c:pt>
                <c:pt idx="1">
                  <c:v>12.351848164998451</c:v>
                </c:pt>
                <c:pt idx="2">
                  <c:v>12.352705230988185</c:v>
                </c:pt>
                <c:pt idx="3">
                  <c:v>12.30343360273625</c:v>
                </c:pt>
                <c:pt idx="4">
                  <c:v>12.246925244360467</c:v>
                </c:pt>
                <c:pt idx="5">
                  <c:v>12.209001685341025</c:v>
                </c:pt>
                <c:pt idx="6">
                  <c:v>12.193967587942158</c:v>
                </c:pt>
                <c:pt idx="7">
                  <c:v>12.181491800302116</c:v>
                </c:pt>
                <c:pt idx="8">
                  <c:v>12.173610659659671</c:v>
                </c:pt>
                <c:pt idx="9">
                  <c:v>12.175982090368112</c:v>
                </c:pt>
                <c:pt idx="10">
                  <c:v>12.191138625765516</c:v>
                </c:pt>
              </c:numCache>
            </c:numRef>
          </c:val>
          <c:extLst xmlns:c16r2="http://schemas.microsoft.com/office/drawing/2015/06/chart">
            <c:ext xmlns:c16="http://schemas.microsoft.com/office/drawing/2014/chart" uri="{C3380CC4-5D6E-409C-BE32-E72D297353CC}">
              <c16:uniqueId val="{00000003-5D04-4F27-8A6B-0CA7059A2610}"/>
            </c:ext>
          </c:extLst>
        </c:ser>
        <c:ser>
          <c:idx val="6"/>
          <c:order val="4"/>
          <c:tx>
            <c:strRef>
              <c:f>'Results tables and graphs'!$A$87</c:f>
              <c:strCache>
                <c:ptCount val="1"/>
                <c:pt idx="0">
                  <c:v>Phlebotomist</c:v>
                </c:pt>
              </c:strCache>
            </c:strRef>
          </c:tx>
          <c:spPr>
            <a:solidFill>
              <a:schemeClr val="accent1">
                <a:lumMod val="60000"/>
              </a:schemeClr>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graphs'!$B$87:$L$87</c:f>
              <c:numCache>
                <c:formatCode>_(* #,##0_);_(* \(#,##0\);_(* "-"??_);_(@_)</c:formatCode>
                <c:ptCount val="11"/>
                <c:pt idx="0">
                  <c:v>12.291666666666668</c:v>
                </c:pt>
                <c:pt idx="1">
                  <c:v>12.351848164998451</c:v>
                </c:pt>
                <c:pt idx="2">
                  <c:v>12.352705230988185</c:v>
                </c:pt>
                <c:pt idx="3">
                  <c:v>12.30343360273625</c:v>
                </c:pt>
                <c:pt idx="4">
                  <c:v>12.246925244360467</c:v>
                </c:pt>
                <c:pt idx="5">
                  <c:v>12.209001685341025</c:v>
                </c:pt>
                <c:pt idx="6">
                  <c:v>12.193967587942158</c:v>
                </c:pt>
                <c:pt idx="7">
                  <c:v>12.181491800302116</c:v>
                </c:pt>
                <c:pt idx="8">
                  <c:v>12.173610659659671</c:v>
                </c:pt>
                <c:pt idx="9">
                  <c:v>12.175982090368112</c:v>
                </c:pt>
                <c:pt idx="10">
                  <c:v>12.191138625765516</c:v>
                </c:pt>
              </c:numCache>
            </c:numRef>
          </c:val>
          <c:extLst xmlns:c16r2="http://schemas.microsoft.com/office/drawing/2015/06/chart">
            <c:ext xmlns:c16="http://schemas.microsoft.com/office/drawing/2014/chart" uri="{C3380CC4-5D6E-409C-BE32-E72D297353CC}">
              <c16:uniqueId val="{00000004-5D04-4F27-8A6B-0CA7059A2610}"/>
            </c:ext>
          </c:extLst>
        </c:ser>
        <c:ser>
          <c:idx val="7"/>
          <c:order val="5"/>
          <c:tx>
            <c:strRef>
              <c:f>'Results tables and graphs'!$A$88</c:f>
              <c:strCache>
                <c:ptCount val="1"/>
                <c:pt idx="0">
                  <c:v>Lab Technologist</c:v>
                </c:pt>
              </c:strCache>
            </c:strRef>
          </c:tx>
          <c:spPr>
            <a:solidFill>
              <a:schemeClr val="accent2">
                <a:lumMod val="60000"/>
              </a:schemeClr>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graphs'!$B$88:$L$88</c:f>
              <c:numCache>
                <c:formatCode>_(* #,##0_);_(* \(#,##0\);_(* "-"??_);_(@_)</c:formatCode>
                <c:ptCount val="11"/>
                <c:pt idx="0">
                  <c:v>73.75</c:v>
                </c:pt>
                <c:pt idx="1">
                  <c:v>74.111088989990719</c:v>
                </c:pt>
                <c:pt idx="2">
                  <c:v>74.116231385929126</c:v>
                </c:pt>
                <c:pt idx="3">
                  <c:v>73.82060161641752</c:v>
                </c:pt>
                <c:pt idx="4">
                  <c:v>73.481551466162813</c:v>
                </c:pt>
                <c:pt idx="5">
                  <c:v>73.254010112046174</c:v>
                </c:pt>
                <c:pt idx="6">
                  <c:v>73.163805527652954</c:v>
                </c:pt>
                <c:pt idx="7">
                  <c:v>73.0889508018127</c:v>
                </c:pt>
                <c:pt idx="8">
                  <c:v>73.041663957958036</c:v>
                </c:pt>
                <c:pt idx="9">
                  <c:v>73.055892542208682</c:v>
                </c:pt>
                <c:pt idx="10">
                  <c:v>73.146831754593094</c:v>
                </c:pt>
              </c:numCache>
            </c:numRef>
          </c:val>
          <c:extLst xmlns:c16r2="http://schemas.microsoft.com/office/drawing/2015/06/chart">
            <c:ext xmlns:c16="http://schemas.microsoft.com/office/drawing/2014/chart" uri="{C3380CC4-5D6E-409C-BE32-E72D297353CC}">
              <c16:uniqueId val="{00000005-5D04-4F27-8A6B-0CA7059A2610}"/>
            </c:ext>
          </c:extLst>
        </c:ser>
        <c:ser>
          <c:idx val="8"/>
          <c:order val="6"/>
          <c:tx>
            <c:strRef>
              <c:f>'Results tables and graphs'!$A$89</c:f>
              <c:strCache>
                <c:ptCount val="1"/>
                <c:pt idx="0">
                  <c:v>Assistant Research Officer</c:v>
                </c:pt>
              </c:strCache>
            </c:strRef>
          </c:tx>
          <c:spPr>
            <a:solidFill>
              <a:schemeClr val="accent3">
                <a:lumMod val="60000"/>
              </a:schemeClr>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graphs'!$B$89:$L$89</c:f>
              <c:numCache>
                <c:formatCode>_(* #,##0_);_(* \(#,##0\);_(* "-"??_);_(@_)</c:formatCode>
                <c:ptCount val="11"/>
                <c:pt idx="0">
                  <c:v>73.75</c:v>
                </c:pt>
                <c:pt idx="1">
                  <c:v>74.111088989990719</c:v>
                </c:pt>
                <c:pt idx="2">
                  <c:v>74.116231385929126</c:v>
                </c:pt>
                <c:pt idx="3">
                  <c:v>73.82060161641752</c:v>
                </c:pt>
                <c:pt idx="4">
                  <c:v>73.481551466162813</c:v>
                </c:pt>
                <c:pt idx="5">
                  <c:v>73.254010112046174</c:v>
                </c:pt>
                <c:pt idx="6">
                  <c:v>73.163805527652954</c:v>
                </c:pt>
                <c:pt idx="7">
                  <c:v>73.0889508018127</c:v>
                </c:pt>
                <c:pt idx="8">
                  <c:v>73.041663957958036</c:v>
                </c:pt>
                <c:pt idx="9">
                  <c:v>73.055892542208682</c:v>
                </c:pt>
                <c:pt idx="10">
                  <c:v>73.146831754593094</c:v>
                </c:pt>
              </c:numCache>
            </c:numRef>
          </c:val>
          <c:extLst xmlns:c16r2="http://schemas.microsoft.com/office/drawing/2015/06/chart">
            <c:ext xmlns:c16="http://schemas.microsoft.com/office/drawing/2014/chart" uri="{C3380CC4-5D6E-409C-BE32-E72D297353CC}">
              <c16:uniqueId val="{00000006-5D04-4F27-8A6B-0CA7059A2610}"/>
            </c:ext>
          </c:extLst>
        </c:ser>
        <c:ser>
          <c:idx val="9"/>
          <c:order val="7"/>
          <c:tx>
            <c:strRef>
              <c:f>'Results tables and graphs'!$A$90</c:f>
              <c:strCache>
                <c:ptCount val="1"/>
                <c:pt idx="0">
                  <c:v>Lab Manager</c:v>
                </c:pt>
              </c:strCache>
            </c:strRef>
          </c:tx>
          <c:spPr>
            <a:solidFill>
              <a:schemeClr val="accent4">
                <a:lumMod val="60000"/>
              </a:schemeClr>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graphs'!$B$90:$L$90</c:f>
              <c:numCache>
                <c:formatCode>_(* #,##0_);_(* \(#,##0\);_(* "-"??_);_(@_)</c:formatCode>
                <c:ptCount val="11"/>
                <c:pt idx="0">
                  <c:v>12.291666666666668</c:v>
                </c:pt>
                <c:pt idx="1">
                  <c:v>12.351848164998451</c:v>
                </c:pt>
                <c:pt idx="2">
                  <c:v>12.352705230988185</c:v>
                </c:pt>
                <c:pt idx="3">
                  <c:v>12.30343360273625</c:v>
                </c:pt>
                <c:pt idx="4">
                  <c:v>12.246925244360467</c:v>
                </c:pt>
                <c:pt idx="5">
                  <c:v>12.209001685341025</c:v>
                </c:pt>
                <c:pt idx="6">
                  <c:v>12.193967587942158</c:v>
                </c:pt>
                <c:pt idx="7">
                  <c:v>12.181491800302116</c:v>
                </c:pt>
                <c:pt idx="8">
                  <c:v>12.173610659659671</c:v>
                </c:pt>
                <c:pt idx="9">
                  <c:v>12.175982090368112</c:v>
                </c:pt>
                <c:pt idx="10">
                  <c:v>12.191138625765516</c:v>
                </c:pt>
              </c:numCache>
            </c:numRef>
          </c:val>
          <c:extLst xmlns:c16r2="http://schemas.microsoft.com/office/drawing/2015/06/chart">
            <c:ext xmlns:c16="http://schemas.microsoft.com/office/drawing/2014/chart" uri="{C3380CC4-5D6E-409C-BE32-E72D297353CC}">
              <c16:uniqueId val="{00000007-5D04-4F27-8A6B-0CA7059A2610}"/>
            </c:ext>
          </c:extLst>
        </c:ser>
        <c:ser>
          <c:idx val="10"/>
          <c:order val="8"/>
          <c:tx>
            <c:strRef>
              <c:f>'Results tables and graphs'!$A$91</c:f>
              <c:strCache>
                <c:ptCount val="1"/>
                <c:pt idx="0">
                  <c:v>Other 1</c:v>
                </c:pt>
              </c:strCache>
            </c:strRef>
          </c:tx>
          <c:spPr>
            <a:solidFill>
              <a:schemeClr val="accent5">
                <a:lumMod val="60000"/>
              </a:schemeClr>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graphs'!$B$91:$L$91</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8-5D04-4F27-8A6B-0CA7059A2610}"/>
            </c:ext>
          </c:extLst>
        </c:ser>
        <c:ser>
          <c:idx val="11"/>
          <c:order val="9"/>
          <c:tx>
            <c:strRef>
              <c:f>'Results tables and graphs'!$A$92</c:f>
              <c:strCache>
                <c:ptCount val="1"/>
                <c:pt idx="0">
                  <c:v>Other 2</c:v>
                </c:pt>
              </c:strCache>
            </c:strRef>
          </c:tx>
          <c:spPr>
            <a:solidFill>
              <a:schemeClr val="accent6">
                <a:lumMod val="60000"/>
              </a:schemeClr>
            </a:solidFill>
            <a:ln>
              <a:noFill/>
            </a:ln>
            <a:effectLst/>
          </c:spPr>
          <c:invertIfNegative val="0"/>
          <c:cat>
            <c:numRef>
              <c:f>'Results tables and graphs'!$B$81:$L$81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graphs'!$B$92:$L$92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9-5D04-4F27-8A6B-0CA7059A2610}"/>
            </c:ext>
          </c:extLst>
        </c:ser>
        <c:dLbls>
          <c:showLegendKey val="0"/>
          <c:showVal val="0"/>
          <c:showCatName val="0"/>
          <c:showSerName val="0"/>
          <c:showPercent val="0"/>
          <c:showBubbleSize val="0"/>
        </c:dLbls>
        <c:gapWidth val="150"/>
        <c:overlap val="100"/>
        <c:axId val="135329280"/>
        <c:axId val="135330816"/>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'Results tables and graphs'!$A$81</c15:sqref>
                        </c15:formulaRef>
                      </c:ext>
                    </c:extLst>
                    <c:strCache>
                      <c:ptCount val="1"/>
                    </c:strCache>
                  </c:strRef>
                </c:tx>
                <c:spPr>
                  <a:solidFill>
                    <a:schemeClr val="accent1"/>
                  </a:solidFill>
                  <a:ln>
                    <a:noFill/>
                  </a:ln>
                  <a:effectLst/>
                </c:spPr>
                <c:invertIfNegative val="0"/>
                <c:cat>
                  <c:numRef>
                    <c:extLst>
                      <c:ext uri="{02D57815-91ED-43cb-92C2-25804820EDAC}">
                        <c15:formulaRef>
                          <c15:sqref>'Results tables and graphs'!$B$81:$L$81</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c:ext uri="{02D57815-91ED-43cb-92C2-25804820EDAC}">
                        <c15:formulaRef>
                          <c15:sqref>'Results tables and graphs'!$B$81:$L$81</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val>
                <c:extLst>
                  <c:ext xmlns:c16="http://schemas.microsoft.com/office/drawing/2014/chart" uri="{C3380CC4-5D6E-409C-BE32-E72D297353CC}">
                    <c16:uniqueId val="{0000000A-5D04-4F27-8A6B-0CA7059A261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'Results tables and graphs'!$A$82</c15:sqref>
                        </c15:formulaRef>
                      </c:ext>
                    </c:extLst>
                    <c:strCache>
                      <c:ptCount val="1"/>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'Results tables and graphs'!$B$81:$L$81</c15:sqref>
                        </c15:formulaRef>
                      </c:ext>
                    </c:extLst>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extLst xmlns:c15="http://schemas.microsoft.com/office/drawing/2012/chart">
                      <c:ext xmlns:c15="http://schemas.microsoft.com/office/drawing/2012/chart" uri="{02D57815-91ED-43cb-92C2-25804820EDAC}">
                        <c15:formulaRef>
                          <c15:sqref>'Results tables and graphs'!$B$82:$L$82</c15:sqref>
                        </c15:formulaRef>
                      </c:ext>
                    </c:extLst>
                    <c:numCache>
                      <c:formatCode>General</c:formatCode>
                      <c:ptCount val="11"/>
                    </c:numCache>
                  </c:numRef>
                </c:val>
                <c:extLst xmlns:c15="http://schemas.microsoft.com/office/drawing/2012/chart">
                  <c:ext xmlns:c16="http://schemas.microsoft.com/office/drawing/2014/chart" uri="{C3380CC4-5D6E-409C-BE32-E72D297353CC}">
                    <c16:uniqueId val="{0000000B-5D04-4F27-8A6B-0CA7059A2610}"/>
                  </c:ext>
                </c:extLst>
              </c15:ser>
            </c15:filteredBarSeries>
          </c:ext>
        </c:extLst>
      </c:barChart>
      <c:catAx>
        <c:axId val="13532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0816"/>
        <c:crosses val="autoZero"/>
        <c:auto val="1"/>
        <c:lblAlgn val="ctr"/>
        <c:lblOffset val="100"/>
        <c:noMultiLvlLbl val="0"/>
      </c:catAx>
      <c:valAx>
        <c:axId val="13533081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2928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Comparison of Total Costs by Test Type</a:t>
            </a:r>
          </a:p>
        </c:rich>
      </c:tx>
      <c:overlay val="0"/>
      <c:spPr>
        <a:noFill/>
        <a:ln>
          <a:noFill/>
        </a:ln>
        <a:effectLst/>
      </c:spPr>
    </c:title>
    <c:autoTitleDeleted val="0"/>
    <c:plotArea>
      <c:layout/>
      <c:barChart>
        <c:barDir val="col"/>
        <c:grouping val="clustered"/>
        <c:varyColors val="0"/>
        <c:ser>
          <c:idx val="0"/>
          <c:order val="0"/>
          <c:tx>
            <c:strRef>
              <c:f>'Results tables and graphs'!$A$19</c:f>
              <c:strCache>
                <c:ptCount val="1"/>
                <c:pt idx="0">
                  <c:v>Abbott M2000 RealTime</c:v>
                </c:pt>
              </c:strCache>
            </c:strRef>
          </c:tx>
          <c:spPr>
            <a:solidFill>
              <a:schemeClr val="accent1"/>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graphs'!$B$28:$L$28</c:f>
              <c:numCache>
                <c:formatCode>_(* #,##0.00_);_(* \(#,##0.00\);_(* "-"??_);_(@_)</c:formatCode>
                <c:ptCount val="11"/>
                <c:pt idx="0">
                  <c:v>24.944144361557363</c:v>
                </c:pt>
                <c:pt idx="1">
                  <c:v>25.065678885154956</c:v>
                </c:pt>
                <c:pt idx="2">
                  <c:v>25.070332789356563</c:v>
                </c:pt>
                <c:pt idx="3">
                  <c:v>24.975346997742925</c:v>
                </c:pt>
                <c:pt idx="4">
                  <c:v>24.865921932280102</c:v>
                </c:pt>
                <c:pt idx="5">
                  <c:v>24.793596583165094</c:v>
                </c:pt>
                <c:pt idx="6">
                  <c:v>24.766806095255586</c:v>
                </c:pt>
                <c:pt idx="7">
                  <c:v>24.745107395244485</c:v>
                </c:pt>
                <c:pt idx="8">
                  <c:v>24.73253642531288</c:v>
                </c:pt>
                <c:pt idx="9">
                  <c:v>24.74029033564824</c:v>
                </c:pt>
                <c:pt idx="10">
                  <c:v>24.773338210149273</c:v>
                </c:pt>
              </c:numCache>
            </c:numRef>
          </c:val>
          <c:extLst xmlns:c16r2="http://schemas.microsoft.com/office/drawing/2015/06/chart">
            <c:ext xmlns:c16="http://schemas.microsoft.com/office/drawing/2014/chart" uri="{C3380CC4-5D6E-409C-BE32-E72D297353CC}">
              <c16:uniqueId val="{00000006-E882-4229-AFFA-0031EE6B65FC}"/>
            </c:ext>
          </c:extLst>
        </c:ser>
        <c:ser>
          <c:idx val="1"/>
          <c:order val="1"/>
          <c:tx>
            <c:strRef>
              <c:f>'Results tables and graphs'!$A$43</c:f>
              <c:strCache>
                <c:ptCount val="1"/>
                <c:pt idx="0">
                  <c:v>Roche COBAS Ampliprep/TaqMan 48</c:v>
                </c:pt>
              </c:strCache>
            </c:strRef>
          </c:tx>
          <c:spPr>
            <a:solidFill>
              <a:schemeClr val="accent2"/>
            </a:solidFill>
            <a:ln>
              <a:noFill/>
            </a:ln>
            <a:effectLst/>
          </c:spPr>
          <c:invertIfNegative val="0"/>
          <c:cat>
            <c:numRef>
              <c:f>'Results tables and graphs'!$B$44:$L$44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graphs'!$B$52:$L$52</c:f>
              <c:numCache>
                <c:formatCode>_(* #,##0.00_);_(* \(#,##0.00\);_(* "-"??_);_(@_)</c:formatCode>
                <c:ptCount val="11"/>
                <c:pt idx="0">
                  <c:v>29.502161802272962</c:v>
                </c:pt>
                <c:pt idx="1">
                  <c:v>29.645904202403717</c:v>
                </c:pt>
                <c:pt idx="2">
                  <c:v>29.647961119957539</c:v>
                </c:pt>
                <c:pt idx="3">
                  <c:v>29.529229766914316</c:v>
                </c:pt>
                <c:pt idx="4">
                  <c:v>29.392979380393992</c:v>
                </c:pt>
                <c:pt idx="5">
                  <c:v>29.301679008994427</c:v>
                </c:pt>
                <c:pt idx="6">
                  <c:v>29.265552597062076</c:v>
                </c:pt>
                <c:pt idx="7">
                  <c:v>29.235580010341597</c:v>
                </c:pt>
                <c:pt idx="8">
                  <c:v>29.216653027684888</c:v>
                </c:pt>
                <c:pt idx="9">
                  <c:v>29.222343350459131</c:v>
                </c:pt>
                <c:pt idx="10">
                  <c:v>29.258673794643418</c:v>
                </c:pt>
              </c:numCache>
            </c:numRef>
          </c:val>
          <c:extLst xmlns:c16r2="http://schemas.microsoft.com/office/drawing/2015/06/chart">
            <c:ext xmlns:c16="http://schemas.microsoft.com/office/drawing/2014/chart" uri="{C3380CC4-5D6E-409C-BE32-E72D297353CC}">
              <c16:uniqueId val="{00000007-E882-4229-AFFA-0031EE6B65FC}"/>
            </c:ext>
          </c:extLst>
        </c:ser>
        <c:dLbls>
          <c:showLegendKey val="0"/>
          <c:showVal val="0"/>
          <c:showCatName val="0"/>
          <c:showSerName val="0"/>
          <c:showPercent val="0"/>
          <c:showBubbleSize val="0"/>
        </c:dLbls>
        <c:gapWidth val="219"/>
        <c:overlap val="-27"/>
        <c:axId val="134927872"/>
        <c:axId val="134929408"/>
      </c:barChart>
      <c:catAx>
        <c:axId val="13492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929408"/>
        <c:crosses val="autoZero"/>
        <c:auto val="1"/>
        <c:lblAlgn val="ctr"/>
        <c:lblOffset val="100"/>
        <c:noMultiLvlLbl val="0"/>
      </c:catAx>
      <c:valAx>
        <c:axId val="1349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overlay val="0"/>
          <c:spPr>
            <a:noFill/>
            <a:ln>
              <a:noFill/>
            </a:ln>
            <a:effectLst/>
          </c:sp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927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Costs by type (Test</a:t>
            </a:r>
            <a:r>
              <a:rPr lang="en-US" baseline="0"/>
              <a:t> type 4)</a:t>
            </a:r>
          </a:p>
        </c:rich>
      </c:tx>
      <c:layout/>
      <c:overlay val="0"/>
      <c:spPr>
        <a:noFill/>
        <a:ln>
          <a:noFill/>
        </a:ln>
        <a:effectLst/>
      </c:spPr>
    </c:title>
    <c:autoTitleDeleted val="0"/>
    <c:plotArea>
      <c:layout/>
      <c:barChart>
        <c:barDir val="col"/>
        <c:grouping val="stacked"/>
        <c:varyColors val="0"/>
        <c:ser>
          <c:idx val="0"/>
          <c:order val="0"/>
          <c:tx>
            <c:strRef>
              <c:f>'Results tables and graphs'!$A$57</c:f>
              <c:strCache>
                <c:ptCount val="1"/>
                <c:pt idx="0">
                  <c:v>HR</c:v>
                </c:pt>
              </c:strCache>
            </c:strRef>
          </c:tx>
          <c:spPr>
            <a:solidFill>
              <a:schemeClr val="accent1"/>
            </a:solidFill>
            <a:ln>
              <a:noFill/>
            </a:ln>
            <a:effectLst/>
          </c:spPr>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graphs'!$B$57:$L$57</c:f>
              <c:numCache>
                <c:formatCode>_(* #,##0.00_);_(* \(#,##0.00\);_(* "-"??_);_(@_)</c:formatCode>
                <c:ptCount val="11"/>
                <c:pt idx="0">
                  <c:v>5.3914845656933386</c:v>
                </c:pt>
                <c:pt idx="1">
                  <c:v>5.4177533163338749</c:v>
                </c:pt>
                <c:pt idx="2">
                  <c:v>5.4181292155414873</c:v>
                </c:pt>
                <c:pt idx="3">
                  <c:v>5.396431203657249</c:v>
                </c:pt>
                <c:pt idx="4">
                  <c:v>5.371531609487934</c:v>
                </c:pt>
                <c:pt idx="5">
                  <c:v>5.3548465764879145</c:v>
                </c:pt>
                <c:pt idx="6">
                  <c:v>5.3482445181827458</c:v>
                </c:pt>
                <c:pt idx="7">
                  <c:v>5.3427670640293723</c:v>
                </c:pt>
                <c:pt idx="8">
                  <c:v>5.3393081807260838</c:v>
                </c:pt>
                <c:pt idx="9">
                  <c:v>5.340348080365195</c:v>
                </c:pt>
                <c:pt idx="10">
                  <c:v>5.3469874253188676</c:v>
                </c:pt>
              </c:numCache>
            </c:numRef>
          </c:val>
          <c:extLst xmlns:c16r2="http://schemas.microsoft.com/office/drawing/2015/06/chart">
            <c:ext xmlns:c16="http://schemas.microsoft.com/office/drawing/2014/chart" uri="{C3380CC4-5D6E-409C-BE32-E72D297353CC}">
              <c16:uniqueId val="{00000000-A416-4F23-9BF0-8ECB190888DC}"/>
            </c:ext>
          </c:extLst>
        </c:ser>
        <c:ser>
          <c:idx val="1"/>
          <c:order val="1"/>
          <c:tx>
            <c:strRef>
              <c:f>'Results tables and graphs'!$A$58</c:f>
              <c:strCache>
                <c:ptCount val="1"/>
                <c:pt idx="0">
                  <c:v>Equipment</c:v>
                </c:pt>
              </c:strCache>
            </c:strRef>
          </c:tx>
          <c:spPr>
            <a:solidFill>
              <a:schemeClr val="accent2"/>
            </a:solidFill>
            <a:ln>
              <a:noFill/>
            </a:ln>
            <a:effectLst/>
          </c:spPr>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graphs'!$B$58:$L$58</c:f>
              <c:numCache>
                <c:formatCode>_(* #,##0.00_);_(* \(#,##0.00\);_(* "-"??_);_(@_)</c:formatCode>
                <c:ptCount val="11"/>
                <c:pt idx="0">
                  <c:v>0.5844231292517007</c:v>
                </c:pt>
                <c:pt idx="1">
                  <c:v>0.58727059459520958</c:v>
                </c:pt>
                <c:pt idx="2">
                  <c:v>0.58731134110732874</c:v>
                </c:pt>
                <c:pt idx="3">
                  <c:v>0.58495933214775264</c:v>
                </c:pt>
                <c:pt idx="4">
                  <c:v>0.58226027986183426</c:v>
                </c:pt>
                <c:pt idx="5">
                  <c:v>0.58045166498429446</c:v>
                </c:pt>
                <c:pt idx="6">
                  <c:v>0.57973601875973502</c:v>
                </c:pt>
                <c:pt idx="7">
                  <c:v>0.57914227674718866</c:v>
                </c:pt>
                <c:pt idx="8">
                  <c:v>0.57876734264894658</c:v>
                </c:pt>
                <c:pt idx="9">
                  <c:v>0.57888006510855705</c:v>
                </c:pt>
                <c:pt idx="10">
                  <c:v>0.57959975311039191</c:v>
                </c:pt>
              </c:numCache>
            </c:numRef>
          </c:val>
          <c:extLst xmlns:c16r2="http://schemas.microsoft.com/office/drawing/2015/06/chart">
            <c:ext xmlns:c16="http://schemas.microsoft.com/office/drawing/2014/chart" uri="{C3380CC4-5D6E-409C-BE32-E72D297353CC}">
              <c16:uniqueId val="{00000001-A416-4F23-9BF0-8ECB190888DC}"/>
            </c:ext>
          </c:extLst>
        </c:ser>
        <c:ser>
          <c:idx val="2"/>
          <c:order val="2"/>
          <c:tx>
            <c:strRef>
              <c:f>'Results tables and graphs'!$A$59</c:f>
              <c:strCache>
                <c:ptCount val="1"/>
                <c:pt idx="0">
                  <c:v>Consumables</c:v>
                </c:pt>
              </c:strCache>
            </c:strRef>
          </c:tx>
          <c:spPr>
            <a:solidFill>
              <a:schemeClr val="accent3"/>
            </a:solidFill>
            <a:ln>
              <a:noFill/>
            </a:ln>
            <a:effectLst/>
          </c:spPr>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graphs'!$B$59:$L$59</c:f>
              <c:numCache>
                <c:formatCode>_(* #,##0.00_);_(* \(#,##0.00\);_(* "-"??_);_(@_)</c:formatCode>
                <c:ptCount val="11"/>
                <c:pt idx="0">
                  <c:v>2.9681331637054238</c:v>
                </c:pt>
                <c:pt idx="1">
                  <c:v>2.9825947000402233</c:v>
                </c:pt>
                <c:pt idx="2">
                  <c:v>2.9828016409839893</c:v>
                </c:pt>
                <c:pt idx="3">
                  <c:v>2.9708563988386474</c:v>
                </c:pt>
                <c:pt idx="4">
                  <c:v>2.9571486138461762</c:v>
                </c:pt>
                <c:pt idx="5">
                  <c:v>2.9479631289984587</c:v>
                </c:pt>
                <c:pt idx="6">
                  <c:v>2.9443285478426526</c:v>
                </c:pt>
                <c:pt idx="7">
                  <c:v>2.9413130864929613</c:v>
                </c:pt>
                <c:pt idx="8">
                  <c:v>2.9394088936650333</c:v>
                </c:pt>
                <c:pt idx="9">
                  <c:v>2.9399813817373186</c:v>
                </c:pt>
                <c:pt idx="10">
                  <c:v>2.9436364900293226</c:v>
                </c:pt>
              </c:numCache>
            </c:numRef>
          </c:val>
          <c:extLst xmlns:c16r2="http://schemas.microsoft.com/office/drawing/2015/06/chart">
            <c:ext xmlns:c16="http://schemas.microsoft.com/office/drawing/2014/chart" uri="{C3380CC4-5D6E-409C-BE32-E72D297353CC}">
              <c16:uniqueId val="{00000002-A416-4F23-9BF0-8ECB190888DC}"/>
            </c:ext>
          </c:extLst>
        </c:ser>
        <c:ser>
          <c:idx val="3"/>
          <c:order val="3"/>
          <c:tx>
            <c:strRef>
              <c:f>'Results tables and graphs'!$A$60</c:f>
              <c:strCache>
                <c:ptCount val="1"/>
                <c:pt idx="0">
                  <c:v>Reagents</c:v>
                </c:pt>
              </c:strCache>
            </c:strRef>
          </c:tx>
          <c:spPr>
            <a:solidFill>
              <a:schemeClr val="accent4"/>
            </a:solidFill>
            <a:ln>
              <a:noFill/>
            </a:ln>
            <a:effectLst/>
          </c:spPr>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graphs'!$B$60:$L$60</c:f>
              <c:numCache>
                <c:formatCode>_(* #,##0.00_);_(* \(#,##0.00\);_(* "-"??_);_(@_)</c:formatCode>
                <c:ptCount val="11"/>
                <c:pt idx="0">
                  <c:v>20.342261904761909</c:v>
                </c:pt>
                <c:pt idx="1">
                  <c:v>20.441374829769785</c:v>
                </c:pt>
                <c:pt idx="2">
                  <c:v>20.442793110771589</c:v>
                </c:pt>
                <c:pt idx="3">
                  <c:v>20.360925744708741</c:v>
                </c:pt>
                <c:pt idx="4">
                  <c:v>20.266978695479018</c:v>
                </c:pt>
                <c:pt idx="5">
                  <c:v>20.204025476001082</c:v>
                </c:pt>
                <c:pt idx="6">
                  <c:v>20.179115676572398</c:v>
                </c:pt>
                <c:pt idx="7">
                  <c:v>20.158449048373505</c:v>
                </c:pt>
                <c:pt idx="8">
                  <c:v>20.145398559366967</c:v>
                </c:pt>
                <c:pt idx="9">
                  <c:v>20.149322137475316</c:v>
                </c:pt>
                <c:pt idx="10">
                  <c:v>20.174372620747228</c:v>
                </c:pt>
              </c:numCache>
            </c:numRef>
          </c:val>
          <c:extLst xmlns:c16r2="http://schemas.microsoft.com/office/drawing/2015/06/chart">
            <c:ext xmlns:c16="http://schemas.microsoft.com/office/drawing/2014/chart" uri="{C3380CC4-5D6E-409C-BE32-E72D297353CC}">
              <c16:uniqueId val="{00000003-A416-4F23-9BF0-8ECB190888DC}"/>
            </c:ext>
          </c:extLst>
        </c:ser>
        <c:ser>
          <c:idx val="4"/>
          <c:order val="4"/>
          <c:tx>
            <c:strRef>
              <c:f>'Results tables and graphs'!$A$61</c:f>
              <c:strCache>
                <c:ptCount val="1"/>
                <c:pt idx="0">
                  <c:v>Capital Costs</c:v>
                </c:pt>
              </c:strCache>
            </c:strRef>
          </c:tx>
          <c:spPr>
            <a:solidFill>
              <a:schemeClr val="accent5"/>
            </a:solidFill>
            <a:ln>
              <a:noFill/>
            </a:ln>
            <a:effectLst/>
          </c:spPr>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graphs'!$B$61:$L$61</c:f>
              <c:numCache>
                <c:formatCode>_(* #,##0.00_);_(* \(#,##0.00\);_(* "-"??_);_(@_)</c:formatCode>
                <c:ptCount val="11"/>
                <c:pt idx="0">
                  <c:v>0.11723862350813243</c:v>
                </c:pt>
                <c:pt idx="1">
                  <c:v>0.11780984134782939</c:v>
                </c:pt>
                <c:pt idx="2">
                  <c:v>0.11781801533129188</c:v>
                </c:pt>
                <c:pt idx="3">
                  <c:v>0.11734618887696835</c:v>
                </c:pt>
                <c:pt idx="4">
                  <c:v>0.11680474354577018</c:v>
                </c:pt>
                <c:pt idx="5">
                  <c:v>0.11644192505333543</c:v>
                </c:pt>
                <c:pt idx="6">
                  <c:v>0.11629836232611487</c:v>
                </c:pt>
                <c:pt idx="7">
                  <c:v>0.11617925428129978</c:v>
                </c:pt>
                <c:pt idx="8">
                  <c:v>0.11610404035600486</c:v>
                </c:pt>
                <c:pt idx="9">
                  <c:v>0.1161266531263449</c:v>
                </c:pt>
                <c:pt idx="10">
                  <c:v>0.11627102665721194</c:v>
                </c:pt>
              </c:numCache>
            </c:numRef>
          </c:val>
          <c:extLst xmlns:c16r2="http://schemas.microsoft.com/office/drawing/2015/06/chart">
            <c:ext xmlns:c16="http://schemas.microsoft.com/office/drawing/2014/chart" uri="{C3380CC4-5D6E-409C-BE32-E72D297353CC}">
              <c16:uniqueId val="{00000004-A416-4F23-9BF0-8ECB190888DC}"/>
            </c:ext>
          </c:extLst>
        </c:ser>
        <c:ser>
          <c:idx val="5"/>
          <c:order val="5"/>
          <c:tx>
            <c:strRef>
              <c:f>'Results tables and graphs'!$A$62</c:f>
              <c:strCache>
                <c:ptCount val="1"/>
                <c:pt idx="0">
                  <c:v>Overheads</c:v>
                </c:pt>
              </c:strCache>
            </c:strRef>
          </c:tx>
          <c:spPr>
            <a:solidFill>
              <a:schemeClr val="accent6"/>
            </a:solidFill>
            <a:ln>
              <a:noFill/>
            </a:ln>
            <a:effectLst/>
          </c:spPr>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graphs'!$B$62:$L$62</c:f>
              <c:numCache>
                <c:formatCode>_(* #,##0.00_);_(* \(#,##0.00\);_(* "-"??_);_(@_)</c:formatCode>
                <c:ptCount val="11"/>
                <c:pt idx="0">
                  <c:v>0.52719184392388829</c:v>
                </c:pt>
                <c:pt idx="1">
                  <c:v>0.52976046318246539</c:v>
                </c:pt>
                <c:pt idx="2">
                  <c:v>0.52979721947731817</c:v>
                </c:pt>
                <c:pt idx="3">
                  <c:v>0.52767553763712116</c:v>
                </c:pt>
                <c:pt idx="4">
                  <c:v>0.5252407976683553</c:v>
                </c:pt>
                <c:pt idx="5">
                  <c:v>0.52360929651018029</c:v>
                </c:pt>
                <c:pt idx="6">
                  <c:v>0.52296373196312729</c:v>
                </c:pt>
                <c:pt idx="7">
                  <c:v>0.52242813381387165</c:v>
                </c:pt>
                <c:pt idx="8">
                  <c:v>0.5220899161960042</c:v>
                </c:pt>
                <c:pt idx="9">
                  <c:v>0.52219159999043196</c:v>
                </c:pt>
                <c:pt idx="10">
                  <c:v>0.5228408105123068</c:v>
                </c:pt>
              </c:numCache>
            </c:numRef>
          </c:val>
          <c:extLst xmlns:c16r2="http://schemas.microsoft.com/office/drawing/2015/06/chart">
            <c:ext xmlns:c16="http://schemas.microsoft.com/office/drawing/2014/chart" uri="{C3380CC4-5D6E-409C-BE32-E72D297353CC}">
              <c16:uniqueId val="{00000005-A416-4F23-9BF0-8ECB190888DC}"/>
            </c:ext>
          </c:extLst>
        </c:ser>
        <c:ser>
          <c:idx val="6"/>
          <c:order val="6"/>
          <c:tx>
            <c:strRef>
              <c:f>'Results tables and graphs'!$A$63</c:f>
              <c:strCache>
                <c:ptCount val="1"/>
                <c:pt idx="0">
                  <c:v>Other</c:v>
                </c:pt>
              </c:strCache>
            </c:strRef>
          </c:tx>
          <c:invertIfNegative val="0"/>
          <c:cat>
            <c:numRef>
              <c:f>'Results tables and graphs'!$B$56:$L$56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'Results tables and graphs'!$B$63:$L$63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35043712"/>
        <c:axId val="135053696"/>
      </c:barChart>
      <c:catAx>
        <c:axId val="13504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053696"/>
        <c:crosses val="autoZero"/>
        <c:auto val="1"/>
        <c:lblAlgn val="ctr"/>
        <c:lblOffset val="100"/>
        <c:noMultiLvlLbl val="0"/>
      </c:catAx>
      <c:valAx>
        <c:axId val="13505369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043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4</xdr:col>
      <xdr:colOff>217714</xdr:colOff>
      <xdr:row>2</xdr:row>
      <xdr:rowOff>43543</xdr:rowOff>
    </xdr:from>
    <xdr:ext cx="3778704" cy="1200150"/>
    <xdr:pic>
      <xdr:nvPicPr>
        <xdr:cNvPr id="2" name="Picture 1">
          <a:extLst>
            <a:ext uri="{FF2B5EF4-FFF2-40B4-BE49-F238E27FC236}">
              <a16:creationId xmlns:a16="http://schemas.microsoft.com/office/drawing/2014/main" xmlns="" id="{001CFC00-D06E-49BA-9C39-EE6ADC039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9657" y="413657"/>
          <a:ext cx="3778704" cy="12001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1243694</xdr:colOff>
      <xdr:row>2</xdr:row>
      <xdr:rowOff>31296</xdr:rowOff>
    </xdr:from>
    <xdr:ext cx="3397704" cy="1162050"/>
    <xdr:pic>
      <xdr:nvPicPr>
        <xdr:cNvPr id="3" name="Picture 2">
          <a:extLst>
            <a:ext uri="{FF2B5EF4-FFF2-40B4-BE49-F238E27FC236}">
              <a16:creationId xmlns:a16="http://schemas.microsoft.com/office/drawing/2014/main" xmlns="" id="{19E4DC99-7330-4212-8CDF-A0A52DE197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10008" y="401410"/>
          <a:ext cx="3397704" cy="1162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66675</xdr:colOff>
      <xdr:row>50</xdr:row>
      <xdr:rowOff>58511</xdr:rowOff>
    </xdr:from>
    <xdr:ext cx="1136196" cy="1123950"/>
    <xdr:pic>
      <xdr:nvPicPr>
        <xdr:cNvPr id="4" name="Picture 3">
          <a:extLst>
            <a:ext uri="{FF2B5EF4-FFF2-40B4-BE49-F238E27FC236}">
              <a16:creationId xmlns:a16="http://schemas.microsoft.com/office/drawing/2014/main" xmlns="" id="{11DE93EC-6AC0-400F-A67C-E6E71F35FD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10631261"/>
          <a:ext cx="1136196" cy="11239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3</xdr:row>
      <xdr:rowOff>163286</xdr:rowOff>
    </xdr:from>
    <xdr:to>
      <xdr:col>19</xdr:col>
      <xdr:colOff>544285</xdr:colOff>
      <xdr:row>31</xdr:row>
      <xdr:rowOff>10885</xdr:rowOff>
    </xdr:to>
    <xdr:grpSp>
      <xdr:nvGrpSpPr>
        <xdr:cNvPr id="5" name="Group 4">
          <a:extLst>
            <a:ext uri="{FF2B5EF4-FFF2-40B4-BE49-F238E27FC236}">
              <a16:creationId xmlns:a16="http://schemas.microsoft.com/office/drawing/2014/main" xmlns="" id="{E605AEE9-2F3A-47B2-991E-29A1BCB17DB7}"/>
            </a:ext>
          </a:extLst>
        </xdr:cNvPr>
        <xdr:cNvGrpSpPr/>
      </xdr:nvGrpSpPr>
      <xdr:grpSpPr>
        <a:xfrm>
          <a:off x="0" y="734786"/>
          <a:ext cx="12916202" cy="5181599"/>
          <a:chOff x="0" y="-593482"/>
          <a:chExt cx="8247380" cy="5173370"/>
        </a:xfrm>
      </xdr:grpSpPr>
      <xdr:sp macro="" textlink="">
        <xdr:nvSpPr>
          <xdr:cNvPr id="6" name="Text Box 2">
            <a:extLst>
              <a:ext uri="{FF2B5EF4-FFF2-40B4-BE49-F238E27FC236}">
                <a16:creationId xmlns:a16="http://schemas.microsoft.com/office/drawing/2014/main" xmlns="" id="{5FFF3717-385C-4EE3-B25C-107EF66D9B84}"/>
              </a:ext>
            </a:extLst>
          </xdr:cNvPr>
          <xdr:cNvSpPr txBox="1"/>
        </xdr:nvSpPr>
        <xdr:spPr>
          <a:xfrm>
            <a:off x="1276350" y="914541"/>
            <a:ext cx="6971030" cy="2205658"/>
          </a:xfrm>
          <a:prstGeom prst="rect">
            <a:avLst/>
          </a:prstGeom>
          <a:solidFill>
            <a:srgbClr val="291D8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1097280" tIns="45720" rIns="365760" bIns="45720" numCol="1" spcCol="0" rtlCol="0" fromWordArt="0" anchor="ctr" anchorCtr="0" forceAA="0" compatLnSpc="1">
            <a:prstTxWarp prst="textNoShape">
              <a:avLst/>
            </a:prstTxWarp>
            <a:noAutofit/>
          </a:bodyPr>
          <a:lstStyle/>
          <a:p>
            <a:pPr marL="0" marR="0" algn="ctr">
              <a:spcBef>
                <a:spcPts val="0"/>
              </a:spcBef>
              <a:spcAft>
                <a:spcPts val="0"/>
              </a:spcAft>
            </a:pPr>
            <a:r>
              <a:rPr lang="en-US" sz="3600" cap="all">
                <a:solidFill>
                  <a:srgbClr val="FFFFFF"/>
                </a:solidFill>
                <a:effectLst/>
                <a:latin typeface="Gill Sans MT Condensed"/>
                <a:ea typeface="Times New Roman"/>
                <a:cs typeface="Times New Roman"/>
              </a:rPr>
              <a:t>Costs of HIV Viral Load and </a:t>
            </a:r>
            <a:br>
              <a:rPr lang="en-US" sz="3600" cap="all">
                <a:solidFill>
                  <a:srgbClr val="FFFFFF"/>
                </a:solidFill>
                <a:effectLst/>
                <a:latin typeface="Gill Sans MT Condensed"/>
                <a:ea typeface="Times New Roman"/>
                <a:cs typeface="Times New Roman"/>
              </a:rPr>
            </a:br>
            <a:r>
              <a:rPr lang="en-US" sz="3600" cap="all">
                <a:solidFill>
                  <a:srgbClr val="FFFFFF"/>
                </a:solidFill>
                <a:effectLst/>
                <a:latin typeface="Gill Sans MT Condensed"/>
                <a:ea typeface="Times New Roman"/>
                <a:cs typeface="Times New Roman"/>
              </a:rPr>
              <a:t>EARLY INFANT DIAGNOSIS: Forecasting Tool</a:t>
            </a:r>
          </a:p>
        </xdr:txBody>
      </xdr:sp>
      <xdr:pic>
        <xdr:nvPicPr>
          <xdr:cNvPr id="7" name="Picture 6">
            <a:extLst>
              <a:ext uri="{FF2B5EF4-FFF2-40B4-BE49-F238E27FC236}">
                <a16:creationId xmlns:a16="http://schemas.microsoft.com/office/drawing/2014/main" xmlns="" id="{172CE1E4-D322-4DF0-869F-3E4E9AA644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593482"/>
            <a:ext cx="1579432" cy="517337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66</xdr:row>
      <xdr:rowOff>0</xdr:rowOff>
    </xdr:from>
    <xdr:to>
      <xdr:col>12</xdr:col>
      <xdr:colOff>0</xdr:colOff>
      <xdr:row>66</xdr:row>
      <xdr:rowOff>0</xdr:rowOff>
    </xdr:to>
    <xdr:sp macro="" textlink="">
      <xdr:nvSpPr>
        <xdr:cNvPr id="2" name="Text 1">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8935700" y="4667250"/>
          <a:ext cx="0" cy="0"/>
        </a:xfrm>
        <a:prstGeom prst="rect">
          <a:avLst/>
        </a:prstGeom>
        <a:solidFill>
          <a:srgbClr val="FF8080"/>
        </a:solidFill>
        <a:ln w="9525">
          <a:solidFill>
            <a:srgbClr val="000000"/>
          </a:solidFill>
          <a:miter lim="800000"/>
          <a:headEnd/>
          <a:tailEnd/>
        </a:ln>
        <a:effectLst>
          <a:outerShdw dist="35921" dir="2700000" algn="ctr" rotWithShape="0">
            <a:srgbClr val="000000"/>
          </a:outerShdw>
        </a:effectLst>
      </xdr:spPr>
      <xdr:txBody>
        <a:bodyPr vertOverflow="clip" wrap="square" lIns="36576" tIns="27432" rIns="36576" bIns="0" anchor="t" upright="1"/>
        <a:lstStyle/>
        <a:p>
          <a:pPr algn="ctr" rtl="1">
            <a:defRPr sz="1000"/>
          </a:pPr>
          <a:r>
            <a:rPr lang="en-US" sz="1200" b="1" i="0" strike="noStrike">
              <a:solidFill>
                <a:srgbClr val="FFFFFF"/>
              </a:solidFill>
              <a:latin typeface="Arial"/>
              <a:cs typeface="Arial"/>
            </a:rPr>
            <a:t>Add Staff Time to Direct Cost Sheet</a:t>
          </a:r>
        </a:p>
      </xdr:txBody>
    </xdr:sp>
    <xdr:clientData/>
  </xdr:twoCellAnchor>
  <xdr:twoCellAnchor>
    <xdr:from>
      <xdr:col>12</xdr:col>
      <xdr:colOff>0</xdr:colOff>
      <xdr:row>66</xdr:row>
      <xdr:rowOff>0</xdr:rowOff>
    </xdr:from>
    <xdr:to>
      <xdr:col>12</xdr:col>
      <xdr:colOff>0</xdr:colOff>
      <xdr:row>66</xdr:row>
      <xdr:rowOff>0</xdr:rowOff>
    </xdr:to>
    <xdr:sp macro="" textlink="">
      <xdr:nvSpPr>
        <xdr:cNvPr id="3" name="Text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8935700" y="4667250"/>
          <a:ext cx="0" cy="0"/>
        </a:xfrm>
        <a:prstGeom prst="rect">
          <a:avLst/>
        </a:prstGeom>
        <a:solidFill>
          <a:srgbClr val="FF8080"/>
        </a:solidFill>
        <a:ln w="9525">
          <a:solidFill>
            <a:srgbClr val="000000"/>
          </a:solidFill>
          <a:miter lim="800000"/>
          <a:headEnd/>
          <a:tailEnd/>
        </a:ln>
        <a:effectLst>
          <a:outerShdw dist="35921" dir="2700000" algn="ctr" rotWithShape="0">
            <a:srgbClr val="000000"/>
          </a:outerShdw>
        </a:effectLst>
      </xdr:spPr>
      <xdr:txBody>
        <a:bodyPr vertOverflow="clip" wrap="square" lIns="36576" tIns="27432" rIns="36576" bIns="0" anchor="t" upright="1"/>
        <a:lstStyle/>
        <a:p>
          <a:pPr algn="ctr" rtl="1">
            <a:defRPr sz="1000"/>
          </a:pPr>
          <a:r>
            <a:rPr lang="en-US" sz="1200" b="1" i="0" strike="noStrike">
              <a:solidFill>
                <a:srgbClr val="FFFFFF"/>
              </a:solidFill>
              <a:latin typeface="Arial"/>
              <a:cs typeface="Arial"/>
            </a:rPr>
            <a:t>Add Staff Time to Direct Cost Sheet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565784</xdr:colOff>
      <xdr:row>1</xdr:row>
      <xdr:rowOff>0</xdr:rowOff>
    </xdr:from>
    <xdr:to>
      <xdr:col>29</xdr:col>
      <xdr:colOff>45719</xdr:colOff>
      <xdr:row>14</xdr:row>
      <xdr:rowOff>80010</xdr:rowOff>
    </xdr:to>
    <xdr:graphicFrame macro="">
      <xdr:nvGraphicFramePr>
        <xdr:cNvPr id="2" name="Chart 1">
          <a:extLst>
            <a:ext uri="{FF2B5EF4-FFF2-40B4-BE49-F238E27FC236}">
              <a16:creationId xmlns:a16="http://schemas.microsoft.com/office/drawing/2014/main" xmlns="" id="{8BED5BB6-DBDF-4A2F-872D-5D9DB2FABC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314324</xdr:colOff>
      <xdr:row>0</xdr:row>
      <xdr:rowOff>194310</xdr:rowOff>
    </xdr:from>
    <xdr:to>
      <xdr:col>20</xdr:col>
      <xdr:colOff>428625</xdr:colOff>
      <xdr:row>14</xdr:row>
      <xdr:rowOff>91440</xdr:rowOff>
    </xdr:to>
    <xdr:graphicFrame macro="">
      <xdr:nvGraphicFramePr>
        <xdr:cNvPr id="3" name="Chart 2">
          <a:extLst>
            <a:ext uri="{FF2B5EF4-FFF2-40B4-BE49-F238E27FC236}">
              <a16:creationId xmlns:a16="http://schemas.microsoft.com/office/drawing/2014/main" xmlns="" id="{746D710D-9618-44F9-BDCA-46A41118B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325754</xdr:colOff>
      <xdr:row>15</xdr:row>
      <xdr:rowOff>112394</xdr:rowOff>
    </xdr:from>
    <xdr:to>
      <xdr:col>20</xdr:col>
      <xdr:colOff>434339</xdr:colOff>
      <xdr:row>33</xdr:row>
      <xdr:rowOff>137159</xdr:rowOff>
    </xdr:to>
    <xdr:graphicFrame macro="">
      <xdr:nvGraphicFramePr>
        <xdr:cNvPr id="5" name="Chart 4">
          <a:extLst>
            <a:ext uri="{FF2B5EF4-FFF2-40B4-BE49-F238E27FC236}">
              <a16:creationId xmlns:a16="http://schemas.microsoft.com/office/drawing/2014/main" xmlns="" id="{1B7F2A88-63B8-4F5A-AD07-E0A3C574E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577214</xdr:colOff>
      <xdr:row>15</xdr:row>
      <xdr:rowOff>114300</xdr:rowOff>
    </xdr:from>
    <xdr:to>
      <xdr:col>29</xdr:col>
      <xdr:colOff>68579</xdr:colOff>
      <xdr:row>33</xdr:row>
      <xdr:rowOff>129540</xdr:rowOff>
    </xdr:to>
    <xdr:graphicFrame macro="">
      <xdr:nvGraphicFramePr>
        <xdr:cNvPr id="6" name="Chart 5">
          <a:extLst>
            <a:ext uri="{FF2B5EF4-FFF2-40B4-BE49-F238E27FC236}">
              <a16:creationId xmlns:a16="http://schemas.microsoft.com/office/drawing/2014/main" xmlns="" id="{1CB353F5-B4E2-4010-AFF9-BE909ABFA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325754</xdr:colOff>
      <xdr:row>34</xdr:row>
      <xdr:rowOff>121920</xdr:rowOff>
    </xdr:from>
    <xdr:to>
      <xdr:col>20</xdr:col>
      <xdr:colOff>441959</xdr:colOff>
      <xdr:row>55</xdr:row>
      <xdr:rowOff>0</xdr:rowOff>
    </xdr:to>
    <xdr:graphicFrame macro="">
      <xdr:nvGraphicFramePr>
        <xdr:cNvPr id="7" name="Chart 6">
          <a:extLst>
            <a:ext uri="{FF2B5EF4-FFF2-40B4-BE49-F238E27FC236}">
              <a16:creationId xmlns:a16="http://schemas.microsoft.com/office/drawing/2014/main" xmlns="" id="{A7DAC089-2809-4743-BDBC-CB634F879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525780</xdr:colOff>
      <xdr:row>60</xdr:row>
      <xdr:rowOff>106680</xdr:rowOff>
    </xdr:from>
    <xdr:to>
      <xdr:col>21</xdr:col>
      <xdr:colOff>16510</xdr:colOff>
      <xdr:row>75</xdr:row>
      <xdr:rowOff>38100</xdr:rowOff>
    </xdr:to>
    <xdr:graphicFrame macro="">
      <xdr:nvGraphicFramePr>
        <xdr:cNvPr id="9" name="Chart 8">
          <a:extLst>
            <a:ext uri="{FF2B5EF4-FFF2-40B4-BE49-F238E27FC236}">
              <a16:creationId xmlns:a16="http://schemas.microsoft.com/office/drawing/2014/main" xmlns="" id="{AC5191F7-AD50-476F-8BED-0ED990645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529590</xdr:colOff>
      <xdr:row>75</xdr:row>
      <xdr:rowOff>165735</xdr:rowOff>
    </xdr:from>
    <xdr:to>
      <xdr:col>21</xdr:col>
      <xdr:colOff>15240</xdr:colOff>
      <xdr:row>95</xdr:row>
      <xdr:rowOff>129540</xdr:rowOff>
    </xdr:to>
    <xdr:graphicFrame macro="">
      <xdr:nvGraphicFramePr>
        <xdr:cNvPr id="10" name="Chart 9">
          <a:extLst>
            <a:ext uri="{FF2B5EF4-FFF2-40B4-BE49-F238E27FC236}">
              <a16:creationId xmlns:a16="http://schemas.microsoft.com/office/drawing/2014/main" xmlns="" id="{BCBB32B5-82D4-47B4-B132-DBBA72069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183514</xdr:colOff>
      <xdr:row>60</xdr:row>
      <xdr:rowOff>67310</xdr:rowOff>
    </xdr:from>
    <xdr:to>
      <xdr:col>29</xdr:col>
      <xdr:colOff>320039</xdr:colOff>
      <xdr:row>75</xdr:row>
      <xdr:rowOff>35560</xdr:rowOff>
    </xdr:to>
    <xdr:graphicFrame macro="">
      <xdr:nvGraphicFramePr>
        <xdr:cNvPr id="11" name="Chart 10">
          <a:extLst>
            <a:ext uri="{FF2B5EF4-FFF2-40B4-BE49-F238E27FC236}">
              <a16:creationId xmlns:a16="http://schemas.microsoft.com/office/drawing/2014/main" xmlns="" id="{74835A0D-9C69-4B5C-8D54-E12CB175E3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579120</xdr:colOff>
      <xdr:row>34</xdr:row>
      <xdr:rowOff>129540</xdr:rowOff>
    </xdr:from>
    <xdr:to>
      <xdr:col>29</xdr:col>
      <xdr:colOff>60960</xdr:colOff>
      <xdr:row>54</xdr:row>
      <xdr:rowOff>167640</xdr:rowOff>
    </xdr:to>
    <xdr:graphicFrame macro="">
      <xdr:nvGraphicFramePr>
        <xdr:cNvPr id="12" name="Chart 11">
          <a:extLst>
            <a:ext uri="{FF2B5EF4-FFF2-40B4-BE49-F238E27FC236}">
              <a16:creationId xmlns:a16="http://schemas.microsoft.com/office/drawing/2014/main" xmlns="" id="{1791C309-2105-4C3A-8943-8952EE447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nders\AppData\Local\Microsoft\Windows\INetCache\Content.Outlook\3K600RI7\Viral%20load%20costing%20cover%20sheet%20DRAFT%206.29.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20Viral%20Load/Viral%20load%20costing%20sheet%202015%207%206_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bt%20Viral%20Load/Kisumu%20Pilot/New%20Data%20from%20Peter/Viral%20Load%20Costing%20Tool%202016%208%20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sanders\AppData\Local\Microsoft\Windows\Temporary%20Internet%20Files\Content.Outlook\FUFQ8XD8\TZ%20Costing%20workbook%20with%20new%20commodities%20May%2019%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sanders\Dropbox\Documents\Documents\ART%20Cost%20sheet\ART%20unit%20cost%20sheet%202013%209%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Service calculations"/>
      <sheetName val="Resource requirements"/>
      <sheetName val="Results tables and graphs"/>
      <sheetName val="Selected populations"/>
      <sheetName val="Country populations"/>
      <sheetName val="Unit costs"/>
      <sheetName val="Blood sample"/>
      <sheetName val="Centrifuge"/>
      <sheetName val="Running machine"/>
      <sheetName val="Transport"/>
      <sheetName val="Quality Assurance"/>
      <sheetName val="Capital and overhead costs"/>
    </sheetNames>
    <sheetDataSet>
      <sheetData sheetId="0">
        <row r="8">
          <cell r="R8" t="e">
            <v>#DIV/0!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Service calculations"/>
      <sheetName val="Resource requirements"/>
      <sheetName val="Results tables and graphs"/>
      <sheetName val="Selected populations"/>
      <sheetName val="Country populations"/>
      <sheetName val="Unit costs"/>
      <sheetName val="Blood sample"/>
      <sheetName val="Centrifuge"/>
      <sheetName val="Running machine"/>
      <sheetName val="Transport"/>
      <sheetName val="Quality Assurance"/>
      <sheetName val="Capital and overhead costs"/>
    </sheetNames>
    <sheetDataSet>
      <sheetData sheetId="0">
        <row r="5">
          <cell r="B5">
            <v>0</v>
          </cell>
        </row>
        <row r="8">
          <cell r="R8" t="e">
            <v>#DIV/0!</v>
          </cell>
        </row>
        <row r="19">
          <cell r="B19" t="str">
            <v>HIV population 15+</v>
          </cell>
          <cell r="T19" t="str">
            <v>HIV population 15+</v>
          </cell>
          <cell r="U19" t="str">
            <v>HIV population 0-14</v>
          </cell>
          <cell r="V19" t="str">
            <v>Women needing PMTCT</v>
          </cell>
        </row>
        <row r="20">
          <cell r="B20" t="str">
            <v>HIV population 0-14</v>
          </cell>
        </row>
        <row r="21">
          <cell r="B21" t="str">
            <v>Women needing PMTCT</v>
          </cell>
        </row>
      </sheetData>
      <sheetData sheetId="1">
        <row r="1">
          <cell r="B1">
            <v>2015</v>
          </cell>
          <cell r="C1">
            <v>2016</v>
          </cell>
          <cell r="D1">
            <v>2017</v>
          </cell>
          <cell r="E1">
            <v>2018</v>
          </cell>
          <cell r="F1">
            <v>2019</v>
          </cell>
          <cell r="G1">
            <v>2020</v>
          </cell>
          <cell r="H1">
            <v>2021</v>
          </cell>
          <cell r="I1">
            <v>2022</v>
          </cell>
          <cell r="J1">
            <v>2023</v>
          </cell>
          <cell r="K1">
            <v>2024</v>
          </cell>
          <cell r="L1">
            <v>2025</v>
          </cell>
        </row>
      </sheetData>
      <sheetData sheetId="2">
        <row r="2">
          <cell r="B2">
            <v>2015</v>
          </cell>
        </row>
        <row r="100">
          <cell r="B100">
            <v>0</v>
          </cell>
          <cell r="C100">
            <v>0</v>
          </cell>
          <cell r="D100">
            <v>0</v>
          </cell>
          <cell r="E100">
            <v>0</v>
          </cell>
          <cell r="F100">
            <v>0</v>
          </cell>
          <cell r="G100">
            <v>0</v>
          </cell>
          <cell r="H100">
            <v>0</v>
          </cell>
          <cell r="I100">
            <v>0</v>
          </cell>
          <cell r="J100">
            <v>0</v>
          </cell>
          <cell r="K100">
            <v>0</v>
          </cell>
          <cell r="L100">
            <v>0</v>
          </cell>
        </row>
        <row r="101">
          <cell r="B101">
            <v>0</v>
          </cell>
          <cell r="C101">
            <v>0</v>
          </cell>
          <cell r="D101">
            <v>0</v>
          </cell>
          <cell r="E101">
            <v>0</v>
          </cell>
          <cell r="F101">
            <v>0</v>
          </cell>
          <cell r="G101">
            <v>0</v>
          </cell>
          <cell r="H101">
            <v>0</v>
          </cell>
          <cell r="I101">
            <v>0</v>
          </cell>
          <cell r="J101">
            <v>0</v>
          </cell>
          <cell r="K101">
            <v>0</v>
          </cell>
          <cell r="L101">
            <v>0</v>
          </cell>
        </row>
      </sheetData>
      <sheetData sheetId="3"/>
      <sheetData sheetId="4"/>
      <sheetData sheetId="5">
        <row r="4">
          <cell r="A4" t="str">
            <v>Afghanistan</v>
          </cell>
          <cell r="B4">
            <v>5181</v>
          </cell>
          <cell r="C4">
            <v>5553</v>
          </cell>
          <cell r="D4">
            <v>5948</v>
          </cell>
          <cell r="E4">
            <v>6374</v>
          </cell>
          <cell r="F4">
            <v>6830</v>
          </cell>
          <cell r="G4">
            <v>7325</v>
          </cell>
          <cell r="H4">
            <v>7824</v>
          </cell>
          <cell r="I4">
            <v>8322</v>
          </cell>
          <cell r="J4">
            <v>8817</v>
          </cell>
          <cell r="K4">
            <v>9307</v>
          </cell>
          <cell r="L4">
            <v>9788</v>
          </cell>
          <cell r="M4">
            <v>85</v>
          </cell>
          <cell r="N4">
            <v>85</v>
          </cell>
          <cell r="O4">
            <v>86</v>
          </cell>
          <cell r="P4">
            <v>86</v>
          </cell>
          <cell r="Q4">
            <v>86</v>
          </cell>
          <cell r="R4">
            <v>86</v>
          </cell>
          <cell r="S4">
            <v>91</v>
          </cell>
          <cell r="T4">
            <v>98</v>
          </cell>
          <cell r="U4">
            <v>104</v>
          </cell>
          <cell r="V4">
            <v>110</v>
          </cell>
          <cell r="W4">
            <v>117</v>
          </cell>
          <cell r="X4">
            <v>490</v>
          </cell>
          <cell r="Y4">
            <v>508</v>
          </cell>
          <cell r="Z4">
            <v>524</v>
          </cell>
          <cell r="AA4">
            <v>541</v>
          </cell>
          <cell r="AB4">
            <v>558</v>
          </cell>
          <cell r="AC4">
            <v>575</v>
          </cell>
          <cell r="AD4">
            <v>593</v>
          </cell>
          <cell r="AE4">
            <v>610</v>
          </cell>
          <cell r="AF4">
            <v>628</v>
          </cell>
          <cell r="AG4">
            <v>645</v>
          </cell>
          <cell r="AH4">
            <v>663</v>
          </cell>
          <cell r="AI4">
            <v>11</v>
          </cell>
          <cell r="AJ4">
            <v>10</v>
          </cell>
          <cell r="AK4">
            <v>9</v>
          </cell>
          <cell r="AL4">
            <v>9</v>
          </cell>
          <cell r="AM4">
            <v>8</v>
          </cell>
          <cell r="AN4">
            <v>8</v>
          </cell>
          <cell r="AO4">
            <v>8</v>
          </cell>
          <cell r="AP4">
            <v>9</v>
          </cell>
          <cell r="AQ4">
            <v>9</v>
          </cell>
          <cell r="AR4">
            <v>9</v>
          </cell>
          <cell r="AS4">
            <v>9</v>
          </cell>
          <cell r="AT4">
            <v>181</v>
          </cell>
          <cell r="AU4">
            <v>186</v>
          </cell>
          <cell r="AV4">
            <v>191</v>
          </cell>
          <cell r="AW4">
            <v>196</v>
          </cell>
          <cell r="AX4">
            <v>202</v>
          </cell>
          <cell r="AY4">
            <v>210</v>
          </cell>
          <cell r="AZ4">
            <v>218</v>
          </cell>
          <cell r="BA4">
            <v>226</v>
          </cell>
          <cell r="BB4">
            <v>234</v>
          </cell>
          <cell r="BC4">
            <v>241</v>
          </cell>
          <cell r="BD4">
            <v>248</v>
          </cell>
          <cell r="BE4">
            <v>2</v>
          </cell>
          <cell r="BF4">
            <v>2</v>
          </cell>
          <cell r="BG4">
            <v>2</v>
          </cell>
          <cell r="BH4">
            <v>2</v>
          </cell>
          <cell r="BI4">
            <v>2</v>
          </cell>
          <cell r="BJ4">
            <v>2</v>
          </cell>
          <cell r="BK4">
            <v>2</v>
          </cell>
          <cell r="BL4">
            <v>2</v>
          </cell>
          <cell r="BM4">
            <v>2</v>
          </cell>
          <cell r="BN4">
            <v>2</v>
          </cell>
          <cell r="BO4">
            <v>2</v>
          </cell>
        </row>
        <row r="5">
          <cell r="A5" t="str">
            <v>Albania</v>
          </cell>
          <cell r="B5">
            <v>952</v>
          </cell>
          <cell r="C5">
            <v>1071</v>
          </cell>
          <cell r="D5">
            <v>1184</v>
          </cell>
          <cell r="E5">
            <v>1290</v>
          </cell>
          <cell r="F5">
            <v>1393</v>
          </cell>
          <cell r="G5">
            <v>1492</v>
          </cell>
          <cell r="H5">
            <v>1579</v>
          </cell>
          <cell r="I5">
            <v>1656</v>
          </cell>
          <cell r="J5">
            <v>1722</v>
          </cell>
          <cell r="K5">
            <v>1779</v>
          </cell>
          <cell r="L5">
            <v>1828</v>
          </cell>
          <cell r="M5">
            <v>214</v>
          </cell>
          <cell r="N5">
            <v>205</v>
          </cell>
          <cell r="O5">
            <v>197</v>
          </cell>
          <cell r="P5">
            <v>190</v>
          </cell>
          <cell r="Q5">
            <v>185</v>
          </cell>
          <cell r="R5">
            <v>181</v>
          </cell>
          <cell r="S5">
            <v>177</v>
          </cell>
          <cell r="T5">
            <v>173</v>
          </cell>
          <cell r="U5">
            <v>170</v>
          </cell>
          <cell r="V5">
            <v>167</v>
          </cell>
          <cell r="W5">
            <v>169</v>
          </cell>
          <cell r="X5">
            <v>24</v>
          </cell>
          <cell r="Y5">
            <v>26</v>
          </cell>
          <cell r="Z5">
            <v>29</v>
          </cell>
          <cell r="AA5">
            <v>32</v>
          </cell>
          <cell r="AB5">
            <v>35</v>
          </cell>
          <cell r="AC5">
            <v>39</v>
          </cell>
          <cell r="AD5">
            <v>42</v>
          </cell>
          <cell r="AE5">
            <v>45</v>
          </cell>
          <cell r="AF5">
            <v>48</v>
          </cell>
          <cell r="AG5">
            <v>51</v>
          </cell>
          <cell r="AH5">
            <v>53</v>
          </cell>
          <cell r="AI5">
            <v>5</v>
          </cell>
          <cell r="AJ5">
            <v>5</v>
          </cell>
          <cell r="AK5">
            <v>5</v>
          </cell>
          <cell r="AL5">
            <v>5</v>
          </cell>
          <cell r="AM5">
            <v>5</v>
          </cell>
          <cell r="AN5">
            <v>5</v>
          </cell>
          <cell r="AO5">
            <v>5</v>
          </cell>
          <cell r="AP5">
            <v>5</v>
          </cell>
          <cell r="AQ5">
            <v>4</v>
          </cell>
          <cell r="AR5">
            <v>4</v>
          </cell>
          <cell r="AS5">
            <v>3</v>
          </cell>
          <cell r="AT5">
            <v>11</v>
          </cell>
          <cell r="AU5">
            <v>12</v>
          </cell>
          <cell r="AV5">
            <v>13</v>
          </cell>
          <cell r="AW5">
            <v>15</v>
          </cell>
          <cell r="AX5">
            <v>16</v>
          </cell>
          <cell r="AY5">
            <v>17</v>
          </cell>
          <cell r="AZ5">
            <v>18</v>
          </cell>
          <cell r="BA5">
            <v>19</v>
          </cell>
          <cell r="BB5">
            <v>19</v>
          </cell>
          <cell r="BC5">
            <v>20</v>
          </cell>
          <cell r="BD5">
            <v>21</v>
          </cell>
          <cell r="BE5">
            <v>0</v>
          </cell>
          <cell r="BF5">
            <v>0</v>
          </cell>
          <cell r="BG5">
            <v>0</v>
          </cell>
          <cell r="BH5">
            <v>0</v>
          </cell>
          <cell r="BI5">
            <v>0</v>
          </cell>
          <cell r="BJ5">
            <v>0</v>
          </cell>
          <cell r="BK5">
            <v>0</v>
          </cell>
          <cell r="BL5">
            <v>0</v>
          </cell>
          <cell r="BM5">
            <v>0</v>
          </cell>
          <cell r="BN5">
            <v>0</v>
          </cell>
          <cell r="BO5">
            <v>0</v>
          </cell>
        </row>
        <row r="6">
          <cell r="A6" t="str">
            <v>Algeria</v>
          </cell>
          <cell r="B6">
            <v>27538</v>
          </cell>
          <cell r="C6">
            <v>28254</v>
          </cell>
          <cell r="D6">
            <v>29021</v>
          </cell>
          <cell r="E6">
            <v>29833</v>
          </cell>
          <cell r="F6">
            <v>30700</v>
          </cell>
          <cell r="G6">
            <v>31591</v>
          </cell>
          <cell r="H6">
            <v>32537</v>
          </cell>
          <cell r="I6">
            <v>33450</v>
          </cell>
          <cell r="J6">
            <v>34320</v>
          </cell>
          <cell r="K6">
            <v>35149</v>
          </cell>
          <cell r="L6">
            <v>35938</v>
          </cell>
          <cell r="M6">
            <v>4293</v>
          </cell>
          <cell r="N6">
            <v>5587</v>
          </cell>
          <cell r="O6">
            <v>7096</v>
          </cell>
          <cell r="P6">
            <v>8849</v>
          </cell>
          <cell r="Q6">
            <v>10881</v>
          </cell>
          <cell r="R6">
            <v>13220</v>
          </cell>
          <cell r="S6">
            <v>14279</v>
          </cell>
          <cell r="T6">
            <v>15259</v>
          </cell>
          <cell r="U6">
            <v>16156</v>
          </cell>
          <cell r="V6">
            <v>16980</v>
          </cell>
          <cell r="W6">
            <v>17732</v>
          </cell>
          <cell r="X6">
            <v>2042</v>
          </cell>
          <cell r="Y6">
            <v>2034</v>
          </cell>
          <cell r="Z6">
            <v>2025</v>
          </cell>
          <cell r="AA6">
            <v>1996</v>
          </cell>
          <cell r="AB6">
            <v>1948</v>
          </cell>
          <cell r="AC6">
            <v>1889</v>
          </cell>
          <cell r="AD6">
            <v>1822</v>
          </cell>
          <cell r="AE6">
            <v>1726</v>
          </cell>
          <cell r="AF6">
            <v>1605</v>
          </cell>
          <cell r="AG6">
            <v>1464</v>
          </cell>
          <cell r="AH6">
            <v>1313</v>
          </cell>
          <cell r="AI6">
            <v>476</v>
          </cell>
          <cell r="AJ6">
            <v>533</v>
          </cell>
          <cell r="AK6">
            <v>576</v>
          </cell>
          <cell r="AL6">
            <v>621</v>
          </cell>
          <cell r="AM6">
            <v>699</v>
          </cell>
          <cell r="AN6">
            <v>717</v>
          </cell>
          <cell r="AO6">
            <v>710</v>
          </cell>
          <cell r="AP6">
            <v>694</v>
          </cell>
          <cell r="AQ6">
            <v>662</v>
          </cell>
          <cell r="AR6">
            <v>607</v>
          </cell>
          <cell r="AS6">
            <v>547</v>
          </cell>
          <cell r="AT6">
            <v>815</v>
          </cell>
          <cell r="AU6">
            <v>800</v>
          </cell>
          <cell r="AV6">
            <v>793</v>
          </cell>
          <cell r="AW6">
            <v>788</v>
          </cell>
          <cell r="AX6">
            <v>785</v>
          </cell>
          <cell r="AY6">
            <v>781</v>
          </cell>
          <cell r="AZ6">
            <v>771</v>
          </cell>
          <cell r="BA6">
            <v>751</v>
          </cell>
          <cell r="BB6">
            <v>728</v>
          </cell>
          <cell r="BC6">
            <v>702</v>
          </cell>
          <cell r="BD6">
            <v>676</v>
          </cell>
          <cell r="BE6">
            <v>431</v>
          </cell>
          <cell r="BF6">
            <v>485</v>
          </cell>
          <cell r="BG6">
            <v>539</v>
          </cell>
          <cell r="BH6">
            <v>592</v>
          </cell>
          <cell r="BI6">
            <v>643</v>
          </cell>
          <cell r="BJ6">
            <v>689</v>
          </cell>
          <cell r="BK6">
            <v>689</v>
          </cell>
          <cell r="BL6">
            <v>689</v>
          </cell>
          <cell r="BM6">
            <v>689</v>
          </cell>
          <cell r="BN6">
            <v>689</v>
          </cell>
          <cell r="BO6">
            <v>676</v>
          </cell>
        </row>
        <row r="7">
          <cell r="A7" t="str">
            <v>Angola</v>
          </cell>
          <cell r="B7">
            <v>317475</v>
          </cell>
          <cell r="C7">
            <v>339796</v>
          </cell>
          <cell r="D7">
            <v>361691</v>
          </cell>
          <cell r="E7">
            <v>383813</v>
          </cell>
          <cell r="F7">
            <v>406354</v>
          </cell>
          <cell r="G7">
            <v>429133</v>
          </cell>
          <cell r="H7">
            <v>452632</v>
          </cell>
          <cell r="I7">
            <v>476879</v>
          </cell>
          <cell r="J7">
            <v>501916</v>
          </cell>
          <cell r="K7">
            <v>527975</v>
          </cell>
          <cell r="L7">
            <v>555140</v>
          </cell>
          <cell r="M7">
            <v>122705</v>
          </cell>
          <cell r="N7">
            <v>154612</v>
          </cell>
          <cell r="O7">
            <v>173601</v>
          </cell>
          <cell r="P7">
            <v>192783</v>
          </cell>
          <cell r="Q7">
            <v>212088</v>
          </cell>
          <cell r="R7">
            <v>231503</v>
          </cell>
          <cell r="S7">
            <v>251044</v>
          </cell>
          <cell r="T7">
            <v>270775</v>
          </cell>
          <cell r="U7">
            <v>290759</v>
          </cell>
          <cell r="V7">
            <v>311096</v>
          </cell>
          <cell r="W7">
            <v>332621</v>
          </cell>
          <cell r="X7">
            <v>45371</v>
          </cell>
          <cell r="Y7">
            <v>49017</v>
          </cell>
          <cell r="Z7">
            <v>52501</v>
          </cell>
          <cell r="AA7">
            <v>56893</v>
          </cell>
          <cell r="AB7">
            <v>61111</v>
          </cell>
          <cell r="AC7">
            <v>65522</v>
          </cell>
          <cell r="AD7">
            <v>70076</v>
          </cell>
          <cell r="AE7">
            <v>74792</v>
          </cell>
          <cell r="AF7">
            <v>79681</v>
          </cell>
          <cell r="AG7">
            <v>84521</v>
          </cell>
          <cell r="AH7">
            <v>89245</v>
          </cell>
          <cell r="AI7">
            <v>18207</v>
          </cell>
          <cell r="AJ7">
            <v>24194</v>
          </cell>
          <cell r="AK7">
            <v>29376</v>
          </cell>
          <cell r="AL7">
            <v>35000</v>
          </cell>
          <cell r="AM7">
            <v>41206</v>
          </cell>
          <cell r="AN7">
            <v>47738</v>
          </cell>
          <cell r="AO7">
            <v>53933</v>
          </cell>
          <cell r="AP7">
            <v>60236</v>
          </cell>
          <cell r="AQ7">
            <v>66684</v>
          </cell>
          <cell r="AR7">
            <v>73236</v>
          </cell>
          <cell r="AS7">
            <v>78985</v>
          </cell>
          <cell r="AT7">
            <v>23556</v>
          </cell>
          <cell r="AU7">
            <v>24638</v>
          </cell>
          <cell r="AV7">
            <v>25620</v>
          </cell>
          <cell r="AW7">
            <v>26308</v>
          </cell>
          <cell r="AX7">
            <v>26909</v>
          </cell>
          <cell r="AY7">
            <v>27431</v>
          </cell>
          <cell r="AZ7">
            <v>27894</v>
          </cell>
          <cell r="BA7">
            <v>28325</v>
          </cell>
          <cell r="BB7">
            <v>28733</v>
          </cell>
          <cell r="BC7">
            <v>29133</v>
          </cell>
          <cell r="BD7">
            <v>29538</v>
          </cell>
          <cell r="BE7">
            <v>15197</v>
          </cell>
          <cell r="BF7">
            <v>17389</v>
          </cell>
          <cell r="BG7">
            <v>17825</v>
          </cell>
          <cell r="BH7">
            <v>18181</v>
          </cell>
          <cell r="BI7">
            <v>18499</v>
          </cell>
          <cell r="BJ7">
            <v>18779</v>
          </cell>
          <cell r="BK7">
            <v>18779</v>
          </cell>
          <cell r="BL7">
            <v>18779</v>
          </cell>
          <cell r="BM7">
            <v>18779</v>
          </cell>
          <cell r="BN7">
            <v>18779</v>
          </cell>
          <cell r="BO7">
            <v>18779</v>
          </cell>
        </row>
        <row r="8">
          <cell r="A8" t="str">
            <v>Antigua and Barbuda</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row>
        <row r="9">
          <cell r="A9" t="str">
            <v>Argentina</v>
          </cell>
          <cell r="B9">
            <v>159527</v>
          </cell>
          <cell r="C9">
            <v>156151</v>
          </cell>
          <cell r="D9">
            <v>152462</v>
          </cell>
          <cell r="E9">
            <v>148608</v>
          </cell>
          <cell r="F9">
            <v>144960</v>
          </cell>
          <cell r="G9">
            <v>141538</v>
          </cell>
          <cell r="H9">
            <v>138332</v>
          </cell>
          <cell r="I9">
            <v>135248</v>
          </cell>
          <cell r="J9">
            <v>132328</v>
          </cell>
          <cell r="K9">
            <v>129669</v>
          </cell>
          <cell r="L9">
            <v>127269</v>
          </cell>
          <cell r="M9">
            <v>40713</v>
          </cell>
          <cell r="N9">
            <v>42303</v>
          </cell>
          <cell r="O9">
            <v>43571</v>
          </cell>
          <cell r="P9">
            <v>44651</v>
          </cell>
          <cell r="Q9">
            <v>45709</v>
          </cell>
          <cell r="R9">
            <v>46793</v>
          </cell>
          <cell r="S9">
            <v>46016</v>
          </cell>
          <cell r="T9">
            <v>45116</v>
          </cell>
          <cell r="U9">
            <v>44146</v>
          </cell>
          <cell r="V9">
            <v>43171</v>
          </cell>
          <cell r="W9">
            <v>42278</v>
          </cell>
          <cell r="X9">
            <v>6417</v>
          </cell>
          <cell r="Y9">
            <v>6033</v>
          </cell>
          <cell r="Z9">
            <v>5548</v>
          </cell>
          <cell r="AA9">
            <v>5038</v>
          </cell>
          <cell r="AB9">
            <v>4539</v>
          </cell>
          <cell r="AC9">
            <v>4087</v>
          </cell>
          <cell r="AD9">
            <v>3736</v>
          </cell>
          <cell r="AE9">
            <v>3469</v>
          </cell>
          <cell r="AF9">
            <v>3287</v>
          </cell>
          <cell r="AG9">
            <v>3106</v>
          </cell>
          <cell r="AH9">
            <v>2929</v>
          </cell>
          <cell r="AI9">
            <v>3534</v>
          </cell>
          <cell r="AJ9">
            <v>3336</v>
          </cell>
          <cell r="AK9">
            <v>3122</v>
          </cell>
          <cell r="AL9">
            <v>2852</v>
          </cell>
          <cell r="AM9">
            <v>2609</v>
          </cell>
          <cell r="AN9">
            <v>2421</v>
          </cell>
          <cell r="AO9">
            <v>2327</v>
          </cell>
          <cell r="AP9">
            <v>2296</v>
          </cell>
          <cell r="AQ9">
            <v>2346</v>
          </cell>
          <cell r="AR9">
            <v>2421</v>
          </cell>
          <cell r="AS9">
            <v>2404</v>
          </cell>
          <cell r="AT9">
            <v>2085</v>
          </cell>
          <cell r="AU9">
            <v>1978</v>
          </cell>
          <cell r="AV9">
            <v>1874</v>
          </cell>
          <cell r="AW9">
            <v>1778</v>
          </cell>
          <cell r="AX9">
            <v>1689</v>
          </cell>
          <cell r="AY9">
            <v>1609</v>
          </cell>
          <cell r="AZ9">
            <v>1539</v>
          </cell>
          <cell r="BA9">
            <v>1478</v>
          </cell>
          <cell r="BB9">
            <v>1428</v>
          </cell>
          <cell r="BC9">
            <v>1386</v>
          </cell>
          <cell r="BD9">
            <v>1352</v>
          </cell>
          <cell r="BE9">
            <v>1920</v>
          </cell>
          <cell r="BF9">
            <v>1881</v>
          </cell>
          <cell r="BG9">
            <v>1822</v>
          </cell>
          <cell r="BH9">
            <v>1766</v>
          </cell>
          <cell r="BI9">
            <v>1689</v>
          </cell>
          <cell r="BJ9">
            <v>1609</v>
          </cell>
          <cell r="BK9">
            <v>1539</v>
          </cell>
          <cell r="BL9">
            <v>1478</v>
          </cell>
          <cell r="BM9">
            <v>1428</v>
          </cell>
          <cell r="BN9">
            <v>1386</v>
          </cell>
          <cell r="BO9">
            <v>1352</v>
          </cell>
        </row>
        <row r="10">
          <cell r="A10" t="str">
            <v>Armenia</v>
          </cell>
          <cell r="B10">
            <v>4840</v>
          </cell>
          <cell r="C10">
            <v>5330</v>
          </cell>
          <cell r="D10">
            <v>5920</v>
          </cell>
          <cell r="E10">
            <v>6595</v>
          </cell>
          <cell r="F10">
            <v>7369</v>
          </cell>
          <cell r="G10">
            <v>8266</v>
          </cell>
          <cell r="H10">
            <v>9130</v>
          </cell>
          <cell r="I10">
            <v>9957</v>
          </cell>
          <cell r="J10">
            <v>10743</v>
          </cell>
          <cell r="K10">
            <v>11487</v>
          </cell>
          <cell r="L10">
            <v>12185</v>
          </cell>
          <cell r="M10">
            <v>820</v>
          </cell>
          <cell r="N10">
            <v>950</v>
          </cell>
          <cell r="O10">
            <v>1208</v>
          </cell>
          <cell r="P10">
            <v>1361</v>
          </cell>
          <cell r="Q10">
            <v>1542</v>
          </cell>
          <cell r="R10">
            <v>1694</v>
          </cell>
          <cell r="S10">
            <v>1935</v>
          </cell>
          <cell r="T10">
            <v>2204</v>
          </cell>
          <cell r="U10">
            <v>2496</v>
          </cell>
          <cell r="V10">
            <v>2804</v>
          </cell>
          <cell r="W10">
            <v>3122</v>
          </cell>
          <cell r="X10">
            <v>34</v>
          </cell>
          <cell r="Y10">
            <v>43</v>
          </cell>
          <cell r="Z10">
            <v>49</v>
          </cell>
          <cell r="AA10">
            <v>55</v>
          </cell>
          <cell r="AB10">
            <v>60</v>
          </cell>
          <cell r="AC10">
            <v>67</v>
          </cell>
          <cell r="AD10">
            <v>77</v>
          </cell>
          <cell r="AE10">
            <v>90</v>
          </cell>
          <cell r="AF10">
            <v>105</v>
          </cell>
          <cell r="AG10">
            <v>124</v>
          </cell>
          <cell r="AH10">
            <v>145</v>
          </cell>
          <cell r="AI10">
            <v>24</v>
          </cell>
          <cell r="AJ10">
            <v>32</v>
          </cell>
          <cell r="AK10">
            <v>37</v>
          </cell>
          <cell r="AL10">
            <v>44</v>
          </cell>
          <cell r="AM10">
            <v>50</v>
          </cell>
          <cell r="AN10">
            <v>56</v>
          </cell>
          <cell r="AO10">
            <v>64</v>
          </cell>
          <cell r="AP10">
            <v>75</v>
          </cell>
          <cell r="AQ10">
            <v>89</v>
          </cell>
          <cell r="AR10">
            <v>105</v>
          </cell>
          <cell r="AS10">
            <v>123</v>
          </cell>
          <cell r="AT10">
            <v>33</v>
          </cell>
          <cell r="AU10">
            <v>37</v>
          </cell>
          <cell r="AV10">
            <v>43</v>
          </cell>
          <cell r="AW10">
            <v>50</v>
          </cell>
          <cell r="AX10">
            <v>57</v>
          </cell>
          <cell r="AY10">
            <v>67</v>
          </cell>
          <cell r="AZ10">
            <v>77</v>
          </cell>
          <cell r="BA10">
            <v>86</v>
          </cell>
          <cell r="BB10">
            <v>94</v>
          </cell>
          <cell r="BC10">
            <v>101</v>
          </cell>
          <cell r="BD10">
            <v>108</v>
          </cell>
          <cell r="BE10">
            <v>26</v>
          </cell>
          <cell r="BF10">
            <v>30</v>
          </cell>
          <cell r="BG10">
            <v>43</v>
          </cell>
          <cell r="BH10">
            <v>50</v>
          </cell>
          <cell r="BI10">
            <v>57</v>
          </cell>
          <cell r="BJ10">
            <v>67</v>
          </cell>
          <cell r="BK10">
            <v>70</v>
          </cell>
          <cell r="BL10">
            <v>70</v>
          </cell>
          <cell r="BM10">
            <v>70</v>
          </cell>
          <cell r="BN10">
            <v>70</v>
          </cell>
          <cell r="BO10">
            <v>70</v>
          </cell>
        </row>
        <row r="11">
          <cell r="A11" t="str">
            <v>Aruba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row>
        <row r="12">
          <cell r="A12" t="str">
            <v>Australia</v>
          </cell>
          <cell r="B12">
            <v>28505</v>
          </cell>
          <cell r="C12">
            <v>29745</v>
          </cell>
          <cell r="D12">
            <v>30980</v>
          </cell>
          <cell r="E12">
            <v>32209</v>
          </cell>
          <cell r="F12">
            <v>33431</v>
          </cell>
          <cell r="G12">
            <v>34647</v>
          </cell>
          <cell r="H12">
            <v>35856</v>
          </cell>
          <cell r="I12">
            <v>37059</v>
          </cell>
          <cell r="J12">
            <v>38257</v>
          </cell>
          <cell r="K12">
            <v>39453</v>
          </cell>
          <cell r="L12">
            <v>40645</v>
          </cell>
          <cell r="M12">
            <v>19533</v>
          </cell>
          <cell r="N12">
            <v>20621</v>
          </cell>
          <cell r="O12">
            <v>21718</v>
          </cell>
          <cell r="P12">
            <v>22823</v>
          </cell>
          <cell r="Q12">
            <v>23931</v>
          </cell>
          <cell r="R12">
            <v>25042</v>
          </cell>
          <cell r="S12">
            <v>26153</v>
          </cell>
          <cell r="T12">
            <v>27263</v>
          </cell>
          <cell r="U12">
            <v>28372</v>
          </cell>
          <cell r="V12">
            <v>29478</v>
          </cell>
          <cell r="W12">
            <v>30583</v>
          </cell>
          <cell r="X12">
            <v>78</v>
          </cell>
          <cell r="Y12">
            <v>90</v>
          </cell>
          <cell r="Z12">
            <v>99</v>
          </cell>
          <cell r="AA12">
            <v>109</v>
          </cell>
          <cell r="AB12">
            <v>118</v>
          </cell>
          <cell r="AC12">
            <v>127</v>
          </cell>
          <cell r="AD12">
            <v>137</v>
          </cell>
          <cell r="AE12">
            <v>147</v>
          </cell>
          <cell r="AF12">
            <v>158</v>
          </cell>
          <cell r="AG12">
            <v>163</v>
          </cell>
          <cell r="AH12">
            <v>168</v>
          </cell>
          <cell r="AI12">
            <v>31</v>
          </cell>
          <cell r="AJ12">
            <v>34</v>
          </cell>
          <cell r="AK12">
            <v>38</v>
          </cell>
          <cell r="AL12">
            <v>42</v>
          </cell>
          <cell r="AM12">
            <v>46</v>
          </cell>
          <cell r="AN12">
            <v>51</v>
          </cell>
          <cell r="AO12">
            <v>57</v>
          </cell>
          <cell r="AP12">
            <v>64</v>
          </cell>
          <cell r="AQ12">
            <v>71</v>
          </cell>
          <cell r="AR12">
            <v>78</v>
          </cell>
          <cell r="AS12">
            <v>83</v>
          </cell>
          <cell r="AT12">
            <v>92</v>
          </cell>
          <cell r="AU12">
            <v>95</v>
          </cell>
          <cell r="AV12">
            <v>98</v>
          </cell>
          <cell r="AW12">
            <v>101</v>
          </cell>
          <cell r="AX12">
            <v>103</v>
          </cell>
          <cell r="AY12">
            <v>105</v>
          </cell>
          <cell r="AZ12">
            <v>107</v>
          </cell>
          <cell r="BA12">
            <v>108</v>
          </cell>
          <cell r="BB12">
            <v>110</v>
          </cell>
          <cell r="BC12">
            <v>112</v>
          </cell>
          <cell r="BD12">
            <v>113</v>
          </cell>
          <cell r="BE12">
            <v>85</v>
          </cell>
          <cell r="BF12">
            <v>87</v>
          </cell>
          <cell r="BG12">
            <v>89</v>
          </cell>
          <cell r="BH12">
            <v>91</v>
          </cell>
          <cell r="BI12">
            <v>93</v>
          </cell>
          <cell r="BJ12">
            <v>94</v>
          </cell>
          <cell r="BK12">
            <v>94</v>
          </cell>
          <cell r="BL12">
            <v>94</v>
          </cell>
          <cell r="BM12">
            <v>94</v>
          </cell>
          <cell r="BN12">
            <v>94</v>
          </cell>
          <cell r="BO12">
            <v>94</v>
          </cell>
        </row>
        <row r="13">
          <cell r="A13" t="str">
            <v>Austria</v>
          </cell>
          <cell r="B13">
            <v>10820</v>
          </cell>
          <cell r="C13">
            <v>11137</v>
          </cell>
          <cell r="D13">
            <v>11447</v>
          </cell>
          <cell r="E13">
            <v>11748</v>
          </cell>
          <cell r="F13">
            <v>12041</v>
          </cell>
          <cell r="G13">
            <v>12326</v>
          </cell>
          <cell r="H13">
            <v>12603</v>
          </cell>
          <cell r="I13">
            <v>12871</v>
          </cell>
          <cell r="J13">
            <v>13132</v>
          </cell>
          <cell r="K13">
            <v>13386</v>
          </cell>
          <cell r="L13">
            <v>13633</v>
          </cell>
          <cell r="M13">
            <v>7868</v>
          </cell>
          <cell r="N13">
            <v>8201</v>
          </cell>
          <cell r="O13">
            <v>8526</v>
          </cell>
          <cell r="P13">
            <v>8844</v>
          </cell>
          <cell r="Q13">
            <v>9154</v>
          </cell>
          <cell r="R13">
            <v>9456</v>
          </cell>
          <cell r="S13">
            <v>9750</v>
          </cell>
          <cell r="T13">
            <v>10035</v>
          </cell>
          <cell r="U13">
            <v>10311</v>
          </cell>
          <cell r="V13">
            <v>10579</v>
          </cell>
          <cell r="W13">
            <v>10839</v>
          </cell>
          <cell r="X13">
            <v>20</v>
          </cell>
          <cell r="Y13">
            <v>24</v>
          </cell>
          <cell r="Z13">
            <v>26</v>
          </cell>
          <cell r="AA13">
            <v>29</v>
          </cell>
          <cell r="AB13">
            <v>34</v>
          </cell>
          <cell r="AC13">
            <v>38</v>
          </cell>
          <cell r="AD13">
            <v>44</v>
          </cell>
          <cell r="AE13">
            <v>49</v>
          </cell>
          <cell r="AF13">
            <v>55</v>
          </cell>
          <cell r="AG13">
            <v>61</v>
          </cell>
          <cell r="AH13">
            <v>67</v>
          </cell>
          <cell r="AI13">
            <v>8</v>
          </cell>
          <cell r="AJ13">
            <v>8</v>
          </cell>
          <cell r="AK13">
            <v>14</v>
          </cell>
          <cell r="AL13">
            <v>16</v>
          </cell>
          <cell r="AM13">
            <v>19</v>
          </cell>
          <cell r="AN13">
            <v>23</v>
          </cell>
          <cell r="AO13">
            <v>27</v>
          </cell>
          <cell r="AP13">
            <v>30</v>
          </cell>
          <cell r="AQ13">
            <v>34</v>
          </cell>
          <cell r="AR13">
            <v>38</v>
          </cell>
          <cell r="AS13">
            <v>42</v>
          </cell>
          <cell r="AT13">
            <v>48</v>
          </cell>
          <cell r="AU13">
            <v>49</v>
          </cell>
          <cell r="AV13">
            <v>51</v>
          </cell>
          <cell r="AW13">
            <v>52</v>
          </cell>
          <cell r="AX13">
            <v>53</v>
          </cell>
          <cell r="AY13">
            <v>54</v>
          </cell>
          <cell r="AZ13">
            <v>54</v>
          </cell>
          <cell r="BA13">
            <v>55</v>
          </cell>
          <cell r="BB13">
            <v>56</v>
          </cell>
          <cell r="BC13">
            <v>56</v>
          </cell>
          <cell r="BD13">
            <v>56</v>
          </cell>
          <cell r="BE13">
            <v>48</v>
          </cell>
          <cell r="BF13">
            <v>49</v>
          </cell>
          <cell r="BG13">
            <v>50</v>
          </cell>
          <cell r="BH13">
            <v>51</v>
          </cell>
          <cell r="BI13">
            <v>51</v>
          </cell>
          <cell r="BJ13">
            <v>52</v>
          </cell>
          <cell r="BK13">
            <v>52</v>
          </cell>
          <cell r="BL13">
            <v>52</v>
          </cell>
          <cell r="BM13">
            <v>52</v>
          </cell>
          <cell r="BN13">
            <v>52</v>
          </cell>
          <cell r="BO13">
            <v>52</v>
          </cell>
        </row>
        <row r="14">
          <cell r="A14" t="str">
            <v>Azerbaijan</v>
          </cell>
          <cell r="B14">
            <v>12128</v>
          </cell>
          <cell r="C14">
            <v>13013</v>
          </cell>
          <cell r="D14">
            <v>13932</v>
          </cell>
          <cell r="E14">
            <v>14904</v>
          </cell>
          <cell r="F14">
            <v>15934</v>
          </cell>
          <cell r="G14">
            <v>17025</v>
          </cell>
          <cell r="H14">
            <v>18029</v>
          </cell>
          <cell r="I14">
            <v>18944</v>
          </cell>
          <cell r="J14">
            <v>19770</v>
          </cell>
          <cell r="K14">
            <v>20518</v>
          </cell>
          <cell r="L14">
            <v>21189</v>
          </cell>
          <cell r="M14">
            <v>328</v>
          </cell>
          <cell r="N14">
            <v>368</v>
          </cell>
          <cell r="O14">
            <v>407</v>
          </cell>
          <cell r="P14">
            <v>446</v>
          </cell>
          <cell r="Q14">
            <v>484</v>
          </cell>
          <cell r="R14">
            <v>522</v>
          </cell>
          <cell r="S14">
            <v>555</v>
          </cell>
          <cell r="T14">
            <v>589</v>
          </cell>
          <cell r="U14">
            <v>622</v>
          </cell>
          <cell r="V14">
            <v>654</v>
          </cell>
          <cell r="W14">
            <v>685</v>
          </cell>
          <cell r="X14">
            <v>171</v>
          </cell>
          <cell r="Y14">
            <v>182</v>
          </cell>
          <cell r="Z14">
            <v>194</v>
          </cell>
          <cell r="AA14">
            <v>206</v>
          </cell>
          <cell r="AB14">
            <v>218</v>
          </cell>
          <cell r="AC14">
            <v>229</v>
          </cell>
          <cell r="AD14">
            <v>241</v>
          </cell>
          <cell r="AE14">
            <v>252</v>
          </cell>
          <cell r="AF14">
            <v>261</v>
          </cell>
          <cell r="AG14">
            <v>268</v>
          </cell>
          <cell r="AH14">
            <v>274</v>
          </cell>
          <cell r="AI14">
            <v>36</v>
          </cell>
          <cell r="AJ14">
            <v>41</v>
          </cell>
          <cell r="AK14">
            <v>46</v>
          </cell>
          <cell r="AL14">
            <v>52</v>
          </cell>
          <cell r="AM14">
            <v>57</v>
          </cell>
          <cell r="AN14">
            <v>64</v>
          </cell>
          <cell r="AO14">
            <v>67</v>
          </cell>
          <cell r="AP14">
            <v>70</v>
          </cell>
          <cell r="AQ14">
            <v>72</v>
          </cell>
          <cell r="AR14">
            <v>73</v>
          </cell>
          <cell r="AS14">
            <v>73</v>
          </cell>
          <cell r="AT14">
            <v>128</v>
          </cell>
          <cell r="AU14">
            <v>134</v>
          </cell>
          <cell r="AV14">
            <v>139</v>
          </cell>
          <cell r="AW14">
            <v>145</v>
          </cell>
          <cell r="AX14">
            <v>151</v>
          </cell>
          <cell r="AY14">
            <v>158</v>
          </cell>
          <cell r="AZ14">
            <v>164</v>
          </cell>
          <cell r="BA14">
            <v>168</v>
          </cell>
          <cell r="BB14">
            <v>171</v>
          </cell>
          <cell r="BC14">
            <v>173</v>
          </cell>
          <cell r="BD14">
            <v>175</v>
          </cell>
          <cell r="BE14">
            <v>47</v>
          </cell>
          <cell r="BF14">
            <v>52</v>
          </cell>
          <cell r="BG14">
            <v>57</v>
          </cell>
          <cell r="BH14">
            <v>62</v>
          </cell>
          <cell r="BI14">
            <v>68</v>
          </cell>
          <cell r="BJ14">
            <v>73</v>
          </cell>
          <cell r="BK14">
            <v>73</v>
          </cell>
          <cell r="BL14">
            <v>73</v>
          </cell>
          <cell r="BM14">
            <v>73</v>
          </cell>
          <cell r="BN14">
            <v>73</v>
          </cell>
          <cell r="BO14">
            <v>73</v>
          </cell>
        </row>
        <row r="15">
          <cell r="A15" t="str">
            <v>Bahamas</v>
          </cell>
          <cell r="B15">
            <v>9499</v>
          </cell>
          <cell r="C15">
            <v>9683</v>
          </cell>
          <cell r="D15">
            <v>9822</v>
          </cell>
          <cell r="E15">
            <v>9926</v>
          </cell>
          <cell r="F15">
            <v>10003</v>
          </cell>
          <cell r="G15">
            <v>10058</v>
          </cell>
          <cell r="H15">
            <v>10111</v>
          </cell>
          <cell r="I15">
            <v>10163</v>
          </cell>
          <cell r="J15">
            <v>10212</v>
          </cell>
          <cell r="K15">
            <v>10259</v>
          </cell>
          <cell r="L15">
            <v>10305</v>
          </cell>
          <cell r="M15">
            <v>5400</v>
          </cell>
          <cell r="N15">
            <v>5867</v>
          </cell>
          <cell r="O15">
            <v>6284</v>
          </cell>
          <cell r="P15">
            <v>6654</v>
          </cell>
          <cell r="Q15">
            <v>6986</v>
          </cell>
          <cell r="R15">
            <v>7274</v>
          </cell>
          <cell r="S15">
            <v>7527</v>
          </cell>
          <cell r="T15">
            <v>7747</v>
          </cell>
          <cell r="U15">
            <v>7939</v>
          </cell>
          <cell r="V15">
            <v>8105</v>
          </cell>
          <cell r="W15">
            <v>8252</v>
          </cell>
          <cell r="X15">
            <v>415</v>
          </cell>
          <cell r="Y15">
            <v>426</v>
          </cell>
          <cell r="Z15">
            <v>450</v>
          </cell>
          <cell r="AA15">
            <v>483</v>
          </cell>
          <cell r="AB15">
            <v>508</v>
          </cell>
          <cell r="AC15">
            <v>529</v>
          </cell>
          <cell r="AD15">
            <v>549</v>
          </cell>
          <cell r="AE15">
            <v>564</v>
          </cell>
          <cell r="AF15">
            <v>577</v>
          </cell>
          <cell r="AG15">
            <v>586</v>
          </cell>
          <cell r="AH15">
            <v>593</v>
          </cell>
          <cell r="AI15">
            <v>124</v>
          </cell>
          <cell r="AJ15">
            <v>152</v>
          </cell>
          <cell r="AK15">
            <v>185</v>
          </cell>
          <cell r="AL15">
            <v>215</v>
          </cell>
          <cell r="AM15">
            <v>261</v>
          </cell>
          <cell r="AN15">
            <v>297</v>
          </cell>
          <cell r="AO15">
            <v>331</v>
          </cell>
          <cell r="AP15">
            <v>362</v>
          </cell>
          <cell r="AQ15">
            <v>389</v>
          </cell>
          <cell r="AR15">
            <v>414</v>
          </cell>
          <cell r="AS15">
            <v>434</v>
          </cell>
          <cell r="AT15">
            <v>158</v>
          </cell>
          <cell r="AU15">
            <v>160</v>
          </cell>
          <cell r="AV15">
            <v>159</v>
          </cell>
          <cell r="AW15">
            <v>158</v>
          </cell>
          <cell r="AX15">
            <v>156</v>
          </cell>
          <cell r="AY15">
            <v>153</v>
          </cell>
          <cell r="AZ15">
            <v>149</v>
          </cell>
          <cell r="BA15">
            <v>145</v>
          </cell>
          <cell r="BB15">
            <v>140</v>
          </cell>
          <cell r="BC15">
            <v>135</v>
          </cell>
          <cell r="BD15">
            <v>130</v>
          </cell>
          <cell r="BE15">
            <v>108</v>
          </cell>
          <cell r="BF15">
            <v>108</v>
          </cell>
          <cell r="BG15">
            <v>108</v>
          </cell>
          <cell r="BH15">
            <v>108</v>
          </cell>
          <cell r="BI15">
            <v>108</v>
          </cell>
          <cell r="BJ15">
            <v>108</v>
          </cell>
          <cell r="BK15">
            <v>108</v>
          </cell>
          <cell r="BL15">
            <v>108</v>
          </cell>
          <cell r="BM15">
            <v>108</v>
          </cell>
          <cell r="BN15">
            <v>108</v>
          </cell>
          <cell r="BO15">
            <v>108</v>
          </cell>
        </row>
        <row r="16">
          <cell r="A16" t="str">
            <v>Bahrain</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row>
        <row r="17">
          <cell r="A17" t="str">
            <v>Bangladesh</v>
          </cell>
          <cell r="B17">
            <v>11749</v>
          </cell>
          <cell r="C17">
            <v>12811</v>
          </cell>
          <cell r="D17">
            <v>13966</v>
          </cell>
          <cell r="E17">
            <v>15230</v>
          </cell>
          <cell r="F17">
            <v>16599</v>
          </cell>
          <cell r="G17">
            <v>18053</v>
          </cell>
          <cell r="H17">
            <v>19516</v>
          </cell>
          <cell r="I17">
            <v>20964</v>
          </cell>
          <cell r="J17">
            <v>22395</v>
          </cell>
          <cell r="K17">
            <v>23807</v>
          </cell>
          <cell r="L17">
            <v>25200</v>
          </cell>
          <cell r="M17">
            <v>2391</v>
          </cell>
          <cell r="N17">
            <v>3063</v>
          </cell>
          <cell r="O17">
            <v>3866</v>
          </cell>
          <cell r="P17">
            <v>4817</v>
          </cell>
          <cell r="Q17">
            <v>5944</v>
          </cell>
          <cell r="R17">
            <v>7267</v>
          </cell>
          <cell r="S17">
            <v>8187</v>
          </cell>
          <cell r="T17">
            <v>9138</v>
          </cell>
          <cell r="U17">
            <v>10115</v>
          </cell>
          <cell r="V17">
            <v>11110</v>
          </cell>
          <cell r="W17">
            <v>12122</v>
          </cell>
          <cell r="X17">
            <v>366</v>
          </cell>
          <cell r="Y17">
            <v>415</v>
          </cell>
          <cell r="Z17">
            <v>459</v>
          </cell>
          <cell r="AA17">
            <v>509</v>
          </cell>
          <cell r="AB17">
            <v>563</v>
          </cell>
          <cell r="AC17">
            <v>631</v>
          </cell>
          <cell r="AD17">
            <v>729</v>
          </cell>
          <cell r="AE17">
            <v>838</v>
          </cell>
          <cell r="AF17">
            <v>948</v>
          </cell>
          <cell r="AG17">
            <v>1059</v>
          </cell>
          <cell r="AH17">
            <v>1168</v>
          </cell>
          <cell r="AI17">
            <v>143</v>
          </cell>
          <cell r="AJ17">
            <v>183</v>
          </cell>
          <cell r="AK17">
            <v>232</v>
          </cell>
          <cell r="AL17">
            <v>281</v>
          </cell>
          <cell r="AM17">
            <v>344</v>
          </cell>
          <cell r="AN17">
            <v>457</v>
          </cell>
          <cell r="AO17">
            <v>537</v>
          </cell>
          <cell r="AP17">
            <v>641</v>
          </cell>
          <cell r="AQ17">
            <v>752</v>
          </cell>
          <cell r="AR17">
            <v>863</v>
          </cell>
          <cell r="AS17">
            <v>972</v>
          </cell>
          <cell r="AT17">
            <v>187</v>
          </cell>
          <cell r="AU17">
            <v>202</v>
          </cell>
          <cell r="AV17">
            <v>217</v>
          </cell>
          <cell r="AW17">
            <v>233</v>
          </cell>
          <cell r="AX17">
            <v>249</v>
          </cell>
          <cell r="AY17">
            <v>265</v>
          </cell>
          <cell r="AZ17">
            <v>279</v>
          </cell>
          <cell r="BA17">
            <v>291</v>
          </cell>
          <cell r="BB17">
            <v>301</v>
          </cell>
          <cell r="BC17">
            <v>309</v>
          </cell>
          <cell r="BD17">
            <v>316</v>
          </cell>
          <cell r="BE17">
            <v>59</v>
          </cell>
          <cell r="BF17">
            <v>71</v>
          </cell>
          <cell r="BG17">
            <v>84</v>
          </cell>
          <cell r="BH17">
            <v>96</v>
          </cell>
          <cell r="BI17">
            <v>108</v>
          </cell>
          <cell r="BJ17">
            <v>120</v>
          </cell>
          <cell r="BK17">
            <v>120</v>
          </cell>
          <cell r="BL17">
            <v>120</v>
          </cell>
          <cell r="BM17">
            <v>120</v>
          </cell>
          <cell r="BN17">
            <v>120</v>
          </cell>
          <cell r="BO17">
            <v>120</v>
          </cell>
        </row>
        <row r="18">
          <cell r="A18" t="str">
            <v>Barbados</v>
          </cell>
          <cell r="B18">
            <v>1723</v>
          </cell>
          <cell r="C18">
            <v>1729</v>
          </cell>
          <cell r="D18">
            <v>1729</v>
          </cell>
          <cell r="E18">
            <v>1725</v>
          </cell>
          <cell r="F18">
            <v>1718</v>
          </cell>
          <cell r="G18">
            <v>1707</v>
          </cell>
          <cell r="H18">
            <v>1696</v>
          </cell>
          <cell r="I18">
            <v>1684</v>
          </cell>
          <cell r="J18">
            <v>1669</v>
          </cell>
          <cell r="K18">
            <v>1653</v>
          </cell>
          <cell r="L18">
            <v>1636</v>
          </cell>
          <cell r="M18">
            <v>1024</v>
          </cell>
          <cell r="N18">
            <v>1063</v>
          </cell>
          <cell r="O18">
            <v>1083</v>
          </cell>
          <cell r="P18">
            <v>1097</v>
          </cell>
          <cell r="Q18">
            <v>1108</v>
          </cell>
          <cell r="R18">
            <v>1115</v>
          </cell>
          <cell r="S18">
            <v>1119</v>
          </cell>
          <cell r="T18">
            <v>1119</v>
          </cell>
          <cell r="U18">
            <v>1115</v>
          </cell>
          <cell r="V18">
            <v>1109</v>
          </cell>
          <cell r="W18">
            <v>1101</v>
          </cell>
          <cell r="X18">
            <v>33</v>
          </cell>
          <cell r="Y18">
            <v>35</v>
          </cell>
          <cell r="Z18">
            <v>35</v>
          </cell>
          <cell r="AA18">
            <v>36</v>
          </cell>
          <cell r="AB18">
            <v>36</v>
          </cell>
          <cell r="AC18">
            <v>35</v>
          </cell>
          <cell r="AD18">
            <v>32</v>
          </cell>
          <cell r="AE18">
            <v>29</v>
          </cell>
          <cell r="AF18">
            <v>28</v>
          </cell>
          <cell r="AG18">
            <v>27</v>
          </cell>
          <cell r="AH18">
            <v>26</v>
          </cell>
          <cell r="AI18">
            <v>15</v>
          </cell>
          <cell r="AJ18">
            <v>18</v>
          </cell>
          <cell r="AK18">
            <v>22</v>
          </cell>
          <cell r="AL18">
            <v>21</v>
          </cell>
          <cell r="AM18">
            <v>24</v>
          </cell>
          <cell r="AN18">
            <v>23</v>
          </cell>
          <cell r="AO18">
            <v>22</v>
          </cell>
          <cell r="AP18">
            <v>21</v>
          </cell>
          <cell r="AQ18">
            <v>20</v>
          </cell>
          <cell r="AR18">
            <v>21</v>
          </cell>
          <cell r="AS18">
            <v>21</v>
          </cell>
          <cell r="AT18">
            <v>13</v>
          </cell>
          <cell r="AU18">
            <v>12</v>
          </cell>
          <cell r="AV18">
            <v>12</v>
          </cell>
          <cell r="AW18">
            <v>11</v>
          </cell>
          <cell r="AX18">
            <v>11</v>
          </cell>
          <cell r="AY18">
            <v>10</v>
          </cell>
          <cell r="AZ18">
            <v>10</v>
          </cell>
          <cell r="BA18">
            <v>9</v>
          </cell>
          <cell r="BB18">
            <v>9</v>
          </cell>
          <cell r="BC18">
            <v>8</v>
          </cell>
          <cell r="BD18">
            <v>8</v>
          </cell>
          <cell r="BE18">
            <v>13</v>
          </cell>
          <cell r="BF18">
            <v>12</v>
          </cell>
          <cell r="BG18">
            <v>12</v>
          </cell>
          <cell r="BH18">
            <v>11</v>
          </cell>
          <cell r="BI18">
            <v>11</v>
          </cell>
          <cell r="BJ18">
            <v>10</v>
          </cell>
          <cell r="BK18">
            <v>10</v>
          </cell>
          <cell r="BL18">
            <v>9</v>
          </cell>
          <cell r="BM18">
            <v>9</v>
          </cell>
          <cell r="BN18">
            <v>8</v>
          </cell>
          <cell r="BO18">
            <v>8</v>
          </cell>
        </row>
        <row r="19">
          <cell r="A19" t="str">
            <v>Belarus</v>
          </cell>
          <cell r="B19">
            <v>36114</v>
          </cell>
          <cell r="C19">
            <v>38135</v>
          </cell>
          <cell r="D19">
            <v>39999</v>
          </cell>
          <cell r="E19">
            <v>41825</v>
          </cell>
          <cell r="F19">
            <v>43756</v>
          </cell>
          <cell r="G19">
            <v>46270</v>
          </cell>
          <cell r="H19">
            <v>48620</v>
          </cell>
          <cell r="I19">
            <v>50652</v>
          </cell>
          <cell r="J19">
            <v>52389</v>
          </cell>
          <cell r="K19">
            <v>53846</v>
          </cell>
          <cell r="L19">
            <v>55034</v>
          </cell>
          <cell r="M19">
            <v>3654</v>
          </cell>
          <cell r="N19">
            <v>3876</v>
          </cell>
          <cell r="O19">
            <v>4081</v>
          </cell>
          <cell r="P19">
            <v>4270</v>
          </cell>
          <cell r="Q19">
            <v>4458</v>
          </cell>
          <cell r="R19">
            <v>6503</v>
          </cell>
          <cell r="S19">
            <v>6976</v>
          </cell>
          <cell r="T19">
            <v>7426</v>
          </cell>
          <cell r="U19">
            <v>7848</v>
          </cell>
          <cell r="V19">
            <v>8233</v>
          </cell>
          <cell r="W19">
            <v>8579</v>
          </cell>
          <cell r="X19">
            <v>893</v>
          </cell>
          <cell r="Y19">
            <v>1130</v>
          </cell>
          <cell r="Z19">
            <v>1327</v>
          </cell>
          <cell r="AA19">
            <v>1498</v>
          </cell>
          <cell r="AB19">
            <v>1639</v>
          </cell>
          <cell r="AC19">
            <v>1768</v>
          </cell>
          <cell r="AD19">
            <v>1900</v>
          </cell>
          <cell r="AE19">
            <v>2036</v>
          </cell>
          <cell r="AF19">
            <v>2174</v>
          </cell>
          <cell r="AG19">
            <v>2302</v>
          </cell>
          <cell r="AH19">
            <v>2416</v>
          </cell>
          <cell r="AI19">
            <v>599</v>
          </cell>
          <cell r="AJ19">
            <v>746</v>
          </cell>
          <cell r="AK19">
            <v>886</v>
          </cell>
          <cell r="AL19">
            <v>967</v>
          </cell>
          <cell r="AM19">
            <v>1040</v>
          </cell>
          <cell r="AN19">
            <v>1111</v>
          </cell>
          <cell r="AO19">
            <v>1184</v>
          </cell>
          <cell r="AP19">
            <v>1255</v>
          </cell>
          <cell r="AQ19">
            <v>1325</v>
          </cell>
          <cell r="AR19">
            <v>1391</v>
          </cell>
          <cell r="AS19">
            <v>1436</v>
          </cell>
          <cell r="AT19">
            <v>400</v>
          </cell>
          <cell r="AU19">
            <v>434</v>
          </cell>
          <cell r="AV19">
            <v>466</v>
          </cell>
          <cell r="AW19">
            <v>496</v>
          </cell>
          <cell r="AX19">
            <v>525</v>
          </cell>
          <cell r="AY19">
            <v>559</v>
          </cell>
          <cell r="AZ19">
            <v>592</v>
          </cell>
          <cell r="BA19">
            <v>617</v>
          </cell>
          <cell r="BB19">
            <v>634</v>
          </cell>
          <cell r="BC19">
            <v>647</v>
          </cell>
          <cell r="BD19">
            <v>654</v>
          </cell>
          <cell r="BE19">
            <v>222</v>
          </cell>
          <cell r="BF19">
            <v>230</v>
          </cell>
          <cell r="BG19">
            <v>237</v>
          </cell>
          <cell r="BH19">
            <v>246</v>
          </cell>
          <cell r="BI19">
            <v>253</v>
          </cell>
          <cell r="BJ19">
            <v>260</v>
          </cell>
          <cell r="BK19">
            <v>260</v>
          </cell>
          <cell r="BL19">
            <v>260</v>
          </cell>
          <cell r="BM19">
            <v>260</v>
          </cell>
          <cell r="BN19">
            <v>260</v>
          </cell>
          <cell r="BO19">
            <v>260</v>
          </cell>
        </row>
        <row r="20">
          <cell r="A20" t="str">
            <v>Belgium</v>
          </cell>
          <cell r="B20">
            <v>24376</v>
          </cell>
          <cell r="C20">
            <v>25611</v>
          </cell>
          <cell r="D20">
            <v>26826</v>
          </cell>
          <cell r="E20">
            <v>28022</v>
          </cell>
          <cell r="F20">
            <v>29200</v>
          </cell>
          <cell r="G20">
            <v>30362</v>
          </cell>
          <cell r="H20">
            <v>31509</v>
          </cell>
          <cell r="I20">
            <v>32640</v>
          </cell>
          <cell r="J20">
            <v>33754</v>
          </cell>
          <cell r="K20">
            <v>34853</v>
          </cell>
          <cell r="L20">
            <v>35935</v>
          </cell>
          <cell r="M20">
            <v>15347</v>
          </cell>
          <cell r="N20">
            <v>16426</v>
          </cell>
          <cell r="O20">
            <v>17515</v>
          </cell>
          <cell r="P20">
            <v>18611</v>
          </cell>
          <cell r="Q20">
            <v>19711</v>
          </cell>
          <cell r="R20">
            <v>20811</v>
          </cell>
          <cell r="S20">
            <v>21907</v>
          </cell>
          <cell r="T20">
            <v>22999</v>
          </cell>
          <cell r="U20">
            <v>24083</v>
          </cell>
          <cell r="V20">
            <v>25158</v>
          </cell>
          <cell r="W20">
            <v>26223</v>
          </cell>
          <cell r="X20">
            <v>85</v>
          </cell>
          <cell r="Y20">
            <v>102</v>
          </cell>
          <cell r="Z20">
            <v>118</v>
          </cell>
          <cell r="AA20">
            <v>133</v>
          </cell>
          <cell r="AB20">
            <v>149</v>
          </cell>
          <cell r="AC20">
            <v>165</v>
          </cell>
          <cell r="AD20">
            <v>185</v>
          </cell>
          <cell r="AE20">
            <v>209</v>
          </cell>
          <cell r="AF20">
            <v>235</v>
          </cell>
          <cell r="AG20">
            <v>262</v>
          </cell>
          <cell r="AH20">
            <v>289</v>
          </cell>
          <cell r="AI20">
            <v>38</v>
          </cell>
          <cell r="AJ20">
            <v>51</v>
          </cell>
          <cell r="AK20">
            <v>65</v>
          </cell>
          <cell r="AL20">
            <v>79</v>
          </cell>
          <cell r="AM20">
            <v>94</v>
          </cell>
          <cell r="AN20">
            <v>114</v>
          </cell>
          <cell r="AO20">
            <v>131</v>
          </cell>
          <cell r="AP20">
            <v>148</v>
          </cell>
          <cell r="AQ20">
            <v>166</v>
          </cell>
          <cell r="AR20">
            <v>186</v>
          </cell>
          <cell r="AS20">
            <v>204</v>
          </cell>
          <cell r="AT20">
            <v>235</v>
          </cell>
          <cell r="AU20">
            <v>244</v>
          </cell>
          <cell r="AV20">
            <v>253</v>
          </cell>
          <cell r="AW20">
            <v>260</v>
          </cell>
          <cell r="AX20">
            <v>267</v>
          </cell>
          <cell r="AY20">
            <v>273</v>
          </cell>
          <cell r="AZ20">
            <v>278</v>
          </cell>
          <cell r="BA20">
            <v>282</v>
          </cell>
          <cell r="BB20">
            <v>285</v>
          </cell>
          <cell r="BC20">
            <v>287</v>
          </cell>
          <cell r="BD20">
            <v>288</v>
          </cell>
          <cell r="BE20">
            <v>235</v>
          </cell>
          <cell r="BF20">
            <v>244</v>
          </cell>
          <cell r="BG20">
            <v>253</v>
          </cell>
          <cell r="BH20">
            <v>260</v>
          </cell>
          <cell r="BI20">
            <v>267</v>
          </cell>
          <cell r="BJ20">
            <v>273</v>
          </cell>
          <cell r="BK20">
            <v>273</v>
          </cell>
          <cell r="BL20">
            <v>273</v>
          </cell>
          <cell r="BM20">
            <v>273</v>
          </cell>
          <cell r="BN20">
            <v>273</v>
          </cell>
          <cell r="BO20">
            <v>273</v>
          </cell>
        </row>
        <row r="21">
          <cell r="A21" t="str">
            <v>Belize</v>
          </cell>
          <cell r="B21">
            <v>3226</v>
          </cell>
          <cell r="C21">
            <v>3316</v>
          </cell>
          <cell r="D21">
            <v>3403</v>
          </cell>
          <cell r="E21">
            <v>3485</v>
          </cell>
          <cell r="F21">
            <v>3566</v>
          </cell>
          <cell r="G21">
            <v>3646</v>
          </cell>
          <cell r="H21">
            <v>3723</v>
          </cell>
          <cell r="I21">
            <v>3797</v>
          </cell>
          <cell r="J21">
            <v>3870</v>
          </cell>
          <cell r="K21">
            <v>3942</v>
          </cell>
          <cell r="L21">
            <v>4013</v>
          </cell>
          <cell r="M21">
            <v>1589</v>
          </cell>
          <cell r="N21">
            <v>1665</v>
          </cell>
          <cell r="O21">
            <v>1735</v>
          </cell>
          <cell r="P21">
            <v>1797</v>
          </cell>
          <cell r="Q21">
            <v>1856</v>
          </cell>
          <cell r="R21">
            <v>1911</v>
          </cell>
          <cell r="S21">
            <v>1964</v>
          </cell>
          <cell r="T21">
            <v>2013</v>
          </cell>
          <cell r="U21">
            <v>2061</v>
          </cell>
          <cell r="V21">
            <v>2106</v>
          </cell>
          <cell r="W21">
            <v>2150</v>
          </cell>
          <cell r="X21">
            <v>204</v>
          </cell>
          <cell r="Y21">
            <v>186</v>
          </cell>
          <cell r="Z21">
            <v>169</v>
          </cell>
          <cell r="AA21">
            <v>153</v>
          </cell>
          <cell r="AB21">
            <v>137</v>
          </cell>
          <cell r="AC21">
            <v>121</v>
          </cell>
          <cell r="AD21">
            <v>105</v>
          </cell>
          <cell r="AE21">
            <v>91</v>
          </cell>
          <cell r="AF21">
            <v>78</v>
          </cell>
          <cell r="AG21">
            <v>64</v>
          </cell>
          <cell r="AH21">
            <v>52</v>
          </cell>
          <cell r="AI21">
            <v>76</v>
          </cell>
          <cell r="AJ21">
            <v>71</v>
          </cell>
          <cell r="AK21">
            <v>67</v>
          </cell>
          <cell r="AL21">
            <v>62</v>
          </cell>
          <cell r="AM21">
            <v>59</v>
          </cell>
          <cell r="AN21">
            <v>53</v>
          </cell>
          <cell r="AO21">
            <v>47</v>
          </cell>
          <cell r="AP21">
            <v>41</v>
          </cell>
          <cell r="AQ21">
            <v>35</v>
          </cell>
          <cell r="AR21">
            <v>29</v>
          </cell>
          <cell r="AS21">
            <v>24</v>
          </cell>
          <cell r="AT21">
            <v>62</v>
          </cell>
          <cell r="AU21">
            <v>60</v>
          </cell>
          <cell r="AV21">
            <v>58</v>
          </cell>
          <cell r="AW21">
            <v>57</v>
          </cell>
          <cell r="AX21">
            <v>56</v>
          </cell>
          <cell r="AY21">
            <v>55</v>
          </cell>
          <cell r="AZ21">
            <v>54</v>
          </cell>
          <cell r="BA21">
            <v>53</v>
          </cell>
          <cell r="BB21">
            <v>53</v>
          </cell>
          <cell r="BC21">
            <v>52</v>
          </cell>
          <cell r="BD21">
            <v>52</v>
          </cell>
          <cell r="BE21">
            <v>62</v>
          </cell>
          <cell r="BF21">
            <v>60</v>
          </cell>
          <cell r="BG21">
            <v>58</v>
          </cell>
          <cell r="BH21">
            <v>57</v>
          </cell>
          <cell r="BI21">
            <v>56</v>
          </cell>
          <cell r="BJ21">
            <v>55</v>
          </cell>
          <cell r="BK21">
            <v>54</v>
          </cell>
          <cell r="BL21">
            <v>53</v>
          </cell>
          <cell r="BM21">
            <v>53</v>
          </cell>
          <cell r="BN21">
            <v>52</v>
          </cell>
          <cell r="BO21">
            <v>52</v>
          </cell>
        </row>
        <row r="22">
          <cell r="A22" t="str">
            <v>Benin</v>
          </cell>
          <cell r="B22">
            <v>72312</v>
          </cell>
          <cell r="C22">
            <v>73075</v>
          </cell>
          <cell r="D22">
            <v>73131</v>
          </cell>
          <cell r="E22">
            <v>73405</v>
          </cell>
          <cell r="F22">
            <v>73903</v>
          </cell>
          <cell r="G22">
            <v>74522</v>
          </cell>
          <cell r="H22">
            <v>75282</v>
          </cell>
          <cell r="I22">
            <v>76082</v>
          </cell>
          <cell r="J22">
            <v>76910</v>
          </cell>
          <cell r="K22">
            <v>77711</v>
          </cell>
          <cell r="L22">
            <v>78478</v>
          </cell>
          <cell r="M22">
            <v>29104</v>
          </cell>
          <cell r="N22">
            <v>32450</v>
          </cell>
          <cell r="O22">
            <v>33528</v>
          </cell>
          <cell r="P22">
            <v>37008</v>
          </cell>
          <cell r="Q22">
            <v>40882</v>
          </cell>
          <cell r="R22">
            <v>45149</v>
          </cell>
          <cell r="S22">
            <v>46916</v>
          </cell>
          <cell r="T22">
            <v>48521</v>
          </cell>
          <cell r="U22">
            <v>49975</v>
          </cell>
          <cell r="V22">
            <v>51236</v>
          </cell>
          <cell r="W22">
            <v>52329</v>
          </cell>
          <cell r="X22">
            <v>6983</v>
          </cell>
          <cell r="Y22">
            <v>6610</v>
          </cell>
          <cell r="Z22">
            <v>6190</v>
          </cell>
          <cell r="AA22">
            <v>5735</v>
          </cell>
          <cell r="AB22">
            <v>5266</v>
          </cell>
          <cell r="AC22">
            <v>4826</v>
          </cell>
          <cell r="AD22">
            <v>4418</v>
          </cell>
          <cell r="AE22">
            <v>3976</v>
          </cell>
          <cell r="AF22">
            <v>3507</v>
          </cell>
          <cell r="AG22">
            <v>3077</v>
          </cell>
          <cell r="AH22">
            <v>2692</v>
          </cell>
          <cell r="AI22">
            <v>2136</v>
          </cell>
          <cell r="AJ22">
            <v>2172</v>
          </cell>
          <cell r="AK22">
            <v>2205</v>
          </cell>
          <cell r="AL22">
            <v>2213</v>
          </cell>
          <cell r="AM22">
            <v>2249</v>
          </cell>
          <cell r="AN22">
            <v>2207</v>
          </cell>
          <cell r="AO22">
            <v>2101</v>
          </cell>
          <cell r="AP22">
            <v>1959</v>
          </cell>
          <cell r="AQ22">
            <v>1780</v>
          </cell>
          <cell r="AR22">
            <v>1627</v>
          </cell>
          <cell r="AS22">
            <v>1502</v>
          </cell>
          <cell r="AT22">
            <v>3896</v>
          </cell>
          <cell r="AU22">
            <v>3762</v>
          </cell>
          <cell r="AV22">
            <v>3604</v>
          </cell>
          <cell r="AW22">
            <v>3460</v>
          </cell>
          <cell r="AX22">
            <v>3349</v>
          </cell>
          <cell r="AY22">
            <v>3251</v>
          </cell>
          <cell r="AZ22">
            <v>3142</v>
          </cell>
          <cell r="BA22">
            <v>3021</v>
          </cell>
          <cell r="BB22">
            <v>2906</v>
          </cell>
          <cell r="BC22">
            <v>2798</v>
          </cell>
          <cell r="BD22">
            <v>2697</v>
          </cell>
          <cell r="BE22">
            <v>3424</v>
          </cell>
          <cell r="BF22">
            <v>3270</v>
          </cell>
          <cell r="BG22">
            <v>3270</v>
          </cell>
          <cell r="BH22">
            <v>3270</v>
          </cell>
          <cell r="BI22">
            <v>3270</v>
          </cell>
          <cell r="BJ22">
            <v>3251</v>
          </cell>
          <cell r="BK22">
            <v>3142</v>
          </cell>
          <cell r="BL22">
            <v>3021</v>
          </cell>
          <cell r="BM22">
            <v>2906</v>
          </cell>
          <cell r="BN22">
            <v>2798</v>
          </cell>
          <cell r="BO22">
            <v>2697</v>
          </cell>
        </row>
        <row r="23">
          <cell r="A23" t="str">
            <v>Bhutan</v>
          </cell>
          <cell r="B23">
            <v>747</v>
          </cell>
          <cell r="C23">
            <v>781</v>
          </cell>
          <cell r="D23">
            <v>809</v>
          </cell>
          <cell r="E23">
            <v>832</v>
          </cell>
          <cell r="F23">
            <v>849</v>
          </cell>
          <cell r="G23">
            <v>862</v>
          </cell>
          <cell r="H23">
            <v>873</v>
          </cell>
          <cell r="I23">
            <v>883</v>
          </cell>
          <cell r="J23">
            <v>892</v>
          </cell>
          <cell r="K23">
            <v>900</v>
          </cell>
          <cell r="L23">
            <v>908</v>
          </cell>
          <cell r="M23">
            <v>78</v>
          </cell>
          <cell r="N23">
            <v>76</v>
          </cell>
          <cell r="O23">
            <v>74</v>
          </cell>
          <cell r="P23">
            <v>73</v>
          </cell>
          <cell r="Q23">
            <v>72</v>
          </cell>
          <cell r="R23">
            <v>71</v>
          </cell>
          <cell r="S23">
            <v>70</v>
          </cell>
          <cell r="T23">
            <v>69</v>
          </cell>
          <cell r="U23">
            <v>69</v>
          </cell>
          <cell r="V23">
            <v>69</v>
          </cell>
          <cell r="W23">
            <v>69</v>
          </cell>
          <cell r="X23">
            <v>68</v>
          </cell>
          <cell r="Y23">
            <v>71</v>
          </cell>
          <cell r="Z23">
            <v>74</v>
          </cell>
          <cell r="AA23">
            <v>77</v>
          </cell>
          <cell r="AB23">
            <v>80</v>
          </cell>
          <cell r="AC23">
            <v>82</v>
          </cell>
          <cell r="AD23">
            <v>83</v>
          </cell>
          <cell r="AE23">
            <v>84</v>
          </cell>
          <cell r="AF23">
            <v>85</v>
          </cell>
          <cell r="AG23">
            <v>85</v>
          </cell>
          <cell r="AH23">
            <v>85</v>
          </cell>
          <cell r="AI23">
            <v>4</v>
          </cell>
          <cell r="AJ23">
            <v>5</v>
          </cell>
          <cell r="AK23">
            <v>5</v>
          </cell>
          <cell r="AL23">
            <v>5</v>
          </cell>
          <cell r="AM23">
            <v>5</v>
          </cell>
          <cell r="AN23">
            <v>5</v>
          </cell>
          <cell r="AO23">
            <v>5</v>
          </cell>
          <cell r="AP23">
            <v>5</v>
          </cell>
          <cell r="AQ23">
            <v>5</v>
          </cell>
          <cell r="AR23">
            <v>4</v>
          </cell>
          <cell r="AS23">
            <v>4</v>
          </cell>
          <cell r="AT23">
            <v>27</v>
          </cell>
          <cell r="AU23">
            <v>27</v>
          </cell>
          <cell r="AV23">
            <v>27</v>
          </cell>
          <cell r="AW23">
            <v>27</v>
          </cell>
          <cell r="AX23">
            <v>27</v>
          </cell>
          <cell r="AY23">
            <v>27</v>
          </cell>
          <cell r="AZ23">
            <v>27</v>
          </cell>
          <cell r="BA23">
            <v>27</v>
          </cell>
          <cell r="BB23">
            <v>26</v>
          </cell>
          <cell r="BC23">
            <v>26</v>
          </cell>
          <cell r="BD23">
            <v>26</v>
          </cell>
          <cell r="BE23">
            <v>0</v>
          </cell>
          <cell r="BF23">
            <v>0</v>
          </cell>
          <cell r="BG23">
            <v>0</v>
          </cell>
          <cell r="BH23">
            <v>0</v>
          </cell>
          <cell r="BI23">
            <v>0</v>
          </cell>
          <cell r="BJ23">
            <v>0</v>
          </cell>
          <cell r="BK23">
            <v>0</v>
          </cell>
          <cell r="BL23">
            <v>0</v>
          </cell>
          <cell r="BM23">
            <v>0</v>
          </cell>
          <cell r="BN23">
            <v>0</v>
          </cell>
          <cell r="BO23">
            <v>0</v>
          </cell>
        </row>
        <row r="24">
          <cell r="A24" t="str">
            <v>Bolivia</v>
          </cell>
          <cell r="B24">
            <v>16361</v>
          </cell>
          <cell r="C24">
            <v>16564</v>
          </cell>
          <cell r="D24">
            <v>16797</v>
          </cell>
          <cell r="E24">
            <v>17058</v>
          </cell>
          <cell r="F24">
            <v>17348</v>
          </cell>
          <cell r="G24">
            <v>17663</v>
          </cell>
          <cell r="H24">
            <v>17976</v>
          </cell>
          <cell r="I24">
            <v>18272</v>
          </cell>
          <cell r="J24">
            <v>18558</v>
          </cell>
          <cell r="K24">
            <v>18834</v>
          </cell>
          <cell r="L24">
            <v>19100</v>
          </cell>
          <cell r="M24">
            <v>3696</v>
          </cell>
          <cell r="N24">
            <v>4137</v>
          </cell>
          <cell r="O24">
            <v>4586</v>
          </cell>
          <cell r="P24">
            <v>5035</v>
          </cell>
          <cell r="Q24">
            <v>5486</v>
          </cell>
          <cell r="R24">
            <v>5938</v>
          </cell>
          <cell r="S24">
            <v>6158</v>
          </cell>
          <cell r="T24">
            <v>6354</v>
          </cell>
          <cell r="U24">
            <v>6533</v>
          </cell>
          <cell r="V24">
            <v>6697</v>
          </cell>
          <cell r="W24">
            <v>6846</v>
          </cell>
          <cell r="X24">
            <v>722</v>
          </cell>
          <cell r="Y24">
            <v>642</v>
          </cell>
          <cell r="Z24">
            <v>564</v>
          </cell>
          <cell r="AA24">
            <v>496</v>
          </cell>
          <cell r="AB24">
            <v>435</v>
          </cell>
          <cell r="AC24">
            <v>381</v>
          </cell>
          <cell r="AD24">
            <v>331</v>
          </cell>
          <cell r="AE24">
            <v>285</v>
          </cell>
          <cell r="AF24">
            <v>241</v>
          </cell>
          <cell r="AG24">
            <v>201</v>
          </cell>
          <cell r="AH24">
            <v>168</v>
          </cell>
          <cell r="AI24">
            <v>53</v>
          </cell>
          <cell r="AJ24">
            <v>50</v>
          </cell>
          <cell r="AK24">
            <v>48</v>
          </cell>
          <cell r="AL24">
            <v>47</v>
          </cell>
          <cell r="AM24">
            <v>47</v>
          </cell>
          <cell r="AN24">
            <v>50</v>
          </cell>
          <cell r="AO24">
            <v>46</v>
          </cell>
          <cell r="AP24">
            <v>43</v>
          </cell>
          <cell r="AQ24">
            <v>39</v>
          </cell>
          <cell r="AR24">
            <v>33</v>
          </cell>
          <cell r="AS24">
            <v>28</v>
          </cell>
          <cell r="AT24">
            <v>316</v>
          </cell>
          <cell r="AU24">
            <v>317</v>
          </cell>
          <cell r="AV24">
            <v>318</v>
          </cell>
          <cell r="AW24">
            <v>320</v>
          </cell>
          <cell r="AX24">
            <v>321</v>
          </cell>
          <cell r="AY24">
            <v>322</v>
          </cell>
          <cell r="AZ24">
            <v>323</v>
          </cell>
          <cell r="BA24">
            <v>322</v>
          </cell>
          <cell r="BB24">
            <v>320</v>
          </cell>
          <cell r="BC24">
            <v>318</v>
          </cell>
          <cell r="BD24">
            <v>315</v>
          </cell>
          <cell r="BE24">
            <v>263</v>
          </cell>
          <cell r="BF24">
            <v>288</v>
          </cell>
          <cell r="BG24">
            <v>314</v>
          </cell>
          <cell r="BH24">
            <v>320</v>
          </cell>
          <cell r="BI24">
            <v>321</v>
          </cell>
          <cell r="BJ24">
            <v>322</v>
          </cell>
          <cell r="BK24">
            <v>323</v>
          </cell>
          <cell r="BL24">
            <v>322</v>
          </cell>
          <cell r="BM24">
            <v>320</v>
          </cell>
          <cell r="BN24">
            <v>318</v>
          </cell>
          <cell r="BO24">
            <v>315</v>
          </cell>
        </row>
        <row r="25">
          <cell r="A25" t="str">
            <v>Bosnia and Herzegovina</v>
          </cell>
          <cell r="B25">
            <v>334</v>
          </cell>
          <cell r="C25">
            <v>383</v>
          </cell>
          <cell r="D25">
            <v>430</v>
          </cell>
          <cell r="E25">
            <v>475</v>
          </cell>
          <cell r="F25">
            <v>518</v>
          </cell>
          <cell r="G25">
            <v>561</v>
          </cell>
          <cell r="H25">
            <v>598</v>
          </cell>
          <cell r="I25">
            <v>630</v>
          </cell>
          <cell r="J25">
            <v>657</v>
          </cell>
          <cell r="K25">
            <v>680</v>
          </cell>
          <cell r="L25">
            <v>699</v>
          </cell>
          <cell r="M25">
            <v>59</v>
          </cell>
          <cell r="N25">
            <v>56</v>
          </cell>
          <cell r="O25">
            <v>54</v>
          </cell>
          <cell r="P25">
            <v>52</v>
          </cell>
          <cell r="Q25">
            <v>51</v>
          </cell>
          <cell r="R25">
            <v>49</v>
          </cell>
          <cell r="S25">
            <v>48</v>
          </cell>
          <cell r="T25">
            <v>47</v>
          </cell>
          <cell r="U25">
            <v>46</v>
          </cell>
          <cell r="V25">
            <v>45</v>
          </cell>
          <cell r="W25">
            <v>45</v>
          </cell>
          <cell r="X25">
            <v>4</v>
          </cell>
          <cell r="Y25">
            <v>4</v>
          </cell>
          <cell r="Z25">
            <v>5</v>
          </cell>
          <cell r="AA25">
            <v>6</v>
          </cell>
          <cell r="AB25">
            <v>7</v>
          </cell>
          <cell r="AC25">
            <v>8</v>
          </cell>
          <cell r="AD25">
            <v>9</v>
          </cell>
          <cell r="AE25">
            <v>10</v>
          </cell>
          <cell r="AF25">
            <v>11</v>
          </cell>
          <cell r="AG25">
            <v>12</v>
          </cell>
          <cell r="AH25">
            <v>13</v>
          </cell>
          <cell r="AI25">
            <v>0</v>
          </cell>
          <cell r="AJ25">
            <v>0</v>
          </cell>
          <cell r="AK25">
            <v>0</v>
          </cell>
          <cell r="AL25">
            <v>0</v>
          </cell>
          <cell r="AM25">
            <v>0</v>
          </cell>
          <cell r="AN25">
            <v>0</v>
          </cell>
          <cell r="AO25">
            <v>0</v>
          </cell>
          <cell r="AP25">
            <v>0</v>
          </cell>
          <cell r="AQ25">
            <v>0</v>
          </cell>
          <cell r="AR25">
            <v>0</v>
          </cell>
          <cell r="AS25">
            <v>0</v>
          </cell>
          <cell r="AT25">
            <v>2</v>
          </cell>
          <cell r="AU25">
            <v>3</v>
          </cell>
          <cell r="AV25">
            <v>3</v>
          </cell>
          <cell r="AW25">
            <v>4</v>
          </cell>
          <cell r="AX25">
            <v>4</v>
          </cell>
          <cell r="AY25">
            <v>4</v>
          </cell>
          <cell r="AZ25">
            <v>5</v>
          </cell>
          <cell r="BA25">
            <v>5</v>
          </cell>
          <cell r="BB25">
            <v>5</v>
          </cell>
          <cell r="BC25">
            <v>5</v>
          </cell>
          <cell r="BD25">
            <v>6</v>
          </cell>
          <cell r="BE25">
            <v>0</v>
          </cell>
          <cell r="BF25">
            <v>0</v>
          </cell>
          <cell r="BG25">
            <v>0</v>
          </cell>
          <cell r="BH25">
            <v>0</v>
          </cell>
          <cell r="BI25">
            <v>0</v>
          </cell>
          <cell r="BJ25">
            <v>0</v>
          </cell>
          <cell r="BK25">
            <v>0</v>
          </cell>
          <cell r="BL25">
            <v>0</v>
          </cell>
          <cell r="BM25">
            <v>0</v>
          </cell>
          <cell r="BN25">
            <v>0</v>
          </cell>
          <cell r="BO25">
            <v>0</v>
          </cell>
        </row>
        <row r="26">
          <cell r="A26" t="str">
            <v>Botswana</v>
          </cell>
          <cell r="B26">
            <v>328916</v>
          </cell>
          <cell r="C26">
            <v>330807</v>
          </cell>
          <cell r="D26">
            <v>332115</v>
          </cell>
          <cell r="E26">
            <v>333003</v>
          </cell>
          <cell r="F26">
            <v>333273</v>
          </cell>
          <cell r="G26">
            <v>332995</v>
          </cell>
          <cell r="H26">
            <v>332593</v>
          </cell>
          <cell r="I26">
            <v>332134</v>
          </cell>
          <cell r="J26">
            <v>331619</v>
          </cell>
          <cell r="K26">
            <v>331017</v>
          </cell>
          <cell r="L26">
            <v>330285</v>
          </cell>
          <cell r="M26">
            <v>209511</v>
          </cell>
          <cell r="N26">
            <v>216678</v>
          </cell>
          <cell r="O26">
            <v>223092</v>
          </cell>
          <cell r="P26">
            <v>228856</v>
          </cell>
          <cell r="Q26">
            <v>233847</v>
          </cell>
          <cell r="R26">
            <v>238080</v>
          </cell>
          <cell r="S26">
            <v>240804</v>
          </cell>
          <cell r="T26">
            <v>242946</v>
          </cell>
          <cell r="U26">
            <v>244585</v>
          </cell>
          <cell r="V26">
            <v>245718</v>
          </cell>
          <cell r="W26">
            <v>246411</v>
          </cell>
          <cell r="X26">
            <v>22128</v>
          </cell>
          <cell r="Y26">
            <v>22179</v>
          </cell>
          <cell r="Z26">
            <v>22035</v>
          </cell>
          <cell r="AA26">
            <v>21905</v>
          </cell>
          <cell r="AB26">
            <v>21826</v>
          </cell>
          <cell r="AC26">
            <v>21749</v>
          </cell>
          <cell r="AD26">
            <v>21383</v>
          </cell>
          <cell r="AE26">
            <v>20727</v>
          </cell>
          <cell r="AF26">
            <v>20075</v>
          </cell>
          <cell r="AG26">
            <v>19437</v>
          </cell>
          <cell r="AH26">
            <v>18919</v>
          </cell>
          <cell r="AI26">
            <v>12525</v>
          </cell>
          <cell r="AJ26">
            <v>13608</v>
          </cell>
          <cell r="AK26">
            <v>14592</v>
          </cell>
          <cell r="AL26">
            <v>15263</v>
          </cell>
          <cell r="AM26">
            <v>15667</v>
          </cell>
          <cell r="AN26">
            <v>15681</v>
          </cell>
          <cell r="AO26">
            <v>15970</v>
          </cell>
          <cell r="AP26">
            <v>15925</v>
          </cell>
          <cell r="AQ26">
            <v>15627</v>
          </cell>
          <cell r="AR26">
            <v>15323</v>
          </cell>
          <cell r="AS26">
            <v>15029</v>
          </cell>
          <cell r="AT26">
            <v>10863</v>
          </cell>
          <cell r="AU26">
            <v>10281</v>
          </cell>
          <cell r="AV26">
            <v>9682</v>
          </cell>
          <cell r="AW26">
            <v>9084</v>
          </cell>
          <cell r="AX26">
            <v>8499</v>
          </cell>
          <cell r="AY26">
            <v>7942</v>
          </cell>
          <cell r="AZ26">
            <v>7425</v>
          </cell>
          <cell r="BA26">
            <v>6957</v>
          </cell>
          <cell r="BB26">
            <v>6537</v>
          </cell>
          <cell r="BC26">
            <v>6159</v>
          </cell>
          <cell r="BD26">
            <v>5819</v>
          </cell>
          <cell r="BE26">
            <v>9590</v>
          </cell>
          <cell r="BF26">
            <v>9120</v>
          </cell>
          <cell r="BG26">
            <v>8613</v>
          </cell>
          <cell r="BH26">
            <v>8087</v>
          </cell>
          <cell r="BI26">
            <v>7554</v>
          </cell>
          <cell r="BJ26">
            <v>7032</v>
          </cell>
          <cell r="BK26">
            <v>7032</v>
          </cell>
          <cell r="BL26">
            <v>6957</v>
          </cell>
          <cell r="BM26">
            <v>6537</v>
          </cell>
          <cell r="BN26">
            <v>6159</v>
          </cell>
          <cell r="BO26">
            <v>5819</v>
          </cell>
        </row>
        <row r="27">
          <cell r="A27" t="str">
            <v>Brazil</v>
          </cell>
          <cell r="B27">
            <v>771624</v>
          </cell>
          <cell r="C27">
            <v>802255</v>
          </cell>
          <cell r="D27">
            <v>836450</v>
          </cell>
          <cell r="E27">
            <v>873497</v>
          </cell>
          <cell r="F27">
            <v>926719</v>
          </cell>
          <cell r="G27">
            <v>971959</v>
          </cell>
          <cell r="H27">
            <v>1016211</v>
          </cell>
          <cell r="I27">
            <v>1059379</v>
          </cell>
          <cell r="J27">
            <v>1101429</v>
          </cell>
          <cell r="K27">
            <v>1142332</v>
          </cell>
          <cell r="L27">
            <v>1182042</v>
          </cell>
          <cell r="M27">
            <v>419951</v>
          </cell>
          <cell r="N27">
            <v>444521</v>
          </cell>
          <cell r="O27">
            <v>469506</v>
          </cell>
          <cell r="P27">
            <v>495202</v>
          </cell>
          <cell r="Q27">
            <v>521564</v>
          </cell>
          <cell r="R27">
            <v>549782</v>
          </cell>
          <cell r="S27">
            <v>578101</v>
          </cell>
          <cell r="T27">
            <v>606933</v>
          </cell>
          <cell r="U27">
            <v>636103</v>
          </cell>
          <cell r="V27">
            <v>665432</v>
          </cell>
          <cell r="W27">
            <v>694741</v>
          </cell>
          <cell r="X27">
            <v>9128</v>
          </cell>
          <cell r="Y27">
            <v>7956</v>
          </cell>
          <cell r="Z27">
            <v>7152</v>
          </cell>
          <cell r="AA27">
            <v>6448</v>
          </cell>
          <cell r="AB27">
            <v>5890</v>
          </cell>
          <cell r="AC27">
            <v>5404</v>
          </cell>
          <cell r="AD27">
            <v>5117</v>
          </cell>
          <cell r="AE27">
            <v>4941</v>
          </cell>
          <cell r="AF27">
            <v>4821</v>
          </cell>
          <cell r="AG27">
            <v>4723</v>
          </cell>
          <cell r="AH27">
            <v>4633</v>
          </cell>
          <cell r="AI27">
            <v>4138</v>
          </cell>
          <cell r="AJ27">
            <v>3051</v>
          </cell>
          <cell r="AK27">
            <v>2276</v>
          </cell>
          <cell r="AL27">
            <v>1650</v>
          </cell>
          <cell r="AM27">
            <v>1165</v>
          </cell>
          <cell r="AN27">
            <v>801</v>
          </cell>
          <cell r="AO27">
            <v>593</v>
          </cell>
          <cell r="AP27">
            <v>467</v>
          </cell>
          <cell r="AQ27">
            <v>379</v>
          </cell>
          <cell r="AR27">
            <v>307</v>
          </cell>
          <cell r="AS27">
            <v>271</v>
          </cell>
          <cell r="AT27">
            <v>4710</v>
          </cell>
          <cell r="AU27">
            <v>4614</v>
          </cell>
          <cell r="AV27">
            <v>4519</v>
          </cell>
          <cell r="AW27">
            <v>4441</v>
          </cell>
          <cell r="AX27">
            <v>4408</v>
          </cell>
          <cell r="AY27">
            <v>4387</v>
          </cell>
          <cell r="AZ27">
            <v>4337</v>
          </cell>
          <cell r="BA27">
            <v>4284</v>
          </cell>
          <cell r="BB27">
            <v>4229</v>
          </cell>
          <cell r="BC27">
            <v>4174</v>
          </cell>
          <cell r="BD27">
            <v>4120</v>
          </cell>
          <cell r="BE27">
            <v>4710</v>
          </cell>
          <cell r="BF27">
            <v>4614</v>
          </cell>
          <cell r="BG27">
            <v>4519</v>
          </cell>
          <cell r="BH27">
            <v>4441</v>
          </cell>
          <cell r="BI27">
            <v>4408</v>
          </cell>
          <cell r="BJ27">
            <v>4387</v>
          </cell>
          <cell r="BK27">
            <v>4337</v>
          </cell>
          <cell r="BL27">
            <v>4284</v>
          </cell>
          <cell r="BM27">
            <v>4229</v>
          </cell>
          <cell r="BN27">
            <v>4174</v>
          </cell>
          <cell r="BO27">
            <v>4120</v>
          </cell>
        </row>
        <row r="28">
          <cell r="A28" t="str">
            <v>Brunei Darussalam</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row>
        <row r="29">
          <cell r="A29" t="str">
            <v>Bulgaria</v>
          </cell>
          <cell r="B29">
            <v>2606</v>
          </cell>
          <cell r="C29">
            <v>2783</v>
          </cell>
          <cell r="D29">
            <v>2950</v>
          </cell>
          <cell r="E29">
            <v>3107</v>
          </cell>
          <cell r="F29">
            <v>3253</v>
          </cell>
          <cell r="G29">
            <v>3391</v>
          </cell>
          <cell r="H29">
            <v>3519</v>
          </cell>
          <cell r="I29">
            <v>3635</v>
          </cell>
          <cell r="J29">
            <v>3741</v>
          </cell>
          <cell r="K29">
            <v>3836</v>
          </cell>
          <cell r="L29">
            <v>3922</v>
          </cell>
          <cell r="M29">
            <v>923</v>
          </cell>
          <cell r="N29">
            <v>1046</v>
          </cell>
          <cell r="O29">
            <v>1168</v>
          </cell>
          <cell r="P29">
            <v>1291</v>
          </cell>
          <cell r="Q29">
            <v>1412</v>
          </cell>
          <cell r="R29">
            <v>1535</v>
          </cell>
          <cell r="S29">
            <v>1642</v>
          </cell>
          <cell r="T29">
            <v>1744</v>
          </cell>
          <cell r="U29">
            <v>1839</v>
          </cell>
          <cell r="V29">
            <v>1929</v>
          </cell>
          <cell r="W29">
            <v>2013</v>
          </cell>
          <cell r="X29">
            <v>33</v>
          </cell>
          <cell r="Y29">
            <v>40</v>
          </cell>
          <cell r="Z29">
            <v>47</v>
          </cell>
          <cell r="AA29">
            <v>54</v>
          </cell>
          <cell r="AB29">
            <v>61</v>
          </cell>
          <cell r="AC29">
            <v>67</v>
          </cell>
          <cell r="AD29">
            <v>73</v>
          </cell>
          <cell r="AE29">
            <v>78</v>
          </cell>
          <cell r="AF29">
            <v>84</v>
          </cell>
          <cell r="AG29">
            <v>89</v>
          </cell>
          <cell r="AH29">
            <v>93</v>
          </cell>
          <cell r="AI29">
            <v>20</v>
          </cell>
          <cell r="AJ29">
            <v>26</v>
          </cell>
          <cell r="AK29">
            <v>32</v>
          </cell>
          <cell r="AL29">
            <v>38</v>
          </cell>
          <cell r="AM29">
            <v>44</v>
          </cell>
          <cell r="AN29">
            <v>50</v>
          </cell>
          <cell r="AO29">
            <v>55</v>
          </cell>
          <cell r="AP29">
            <v>61</v>
          </cell>
          <cell r="AQ29">
            <v>66</v>
          </cell>
          <cell r="AR29">
            <v>71</v>
          </cell>
          <cell r="AS29">
            <v>75</v>
          </cell>
          <cell r="AT29">
            <v>14</v>
          </cell>
          <cell r="AU29">
            <v>15</v>
          </cell>
          <cell r="AV29">
            <v>16</v>
          </cell>
          <cell r="AW29">
            <v>17</v>
          </cell>
          <cell r="AX29">
            <v>17</v>
          </cell>
          <cell r="AY29">
            <v>18</v>
          </cell>
          <cell r="AZ29">
            <v>18</v>
          </cell>
          <cell r="BA29">
            <v>18</v>
          </cell>
          <cell r="BB29">
            <v>18</v>
          </cell>
          <cell r="BC29">
            <v>19</v>
          </cell>
          <cell r="BD29">
            <v>19</v>
          </cell>
          <cell r="BE29">
            <v>14</v>
          </cell>
          <cell r="BF29">
            <v>15</v>
          </cell>
          <cell r="BG29">
            <v>16</v>
          </cell>
          <cell r="BH29">
            <v>16</v>
          </cell>
          <cell r="BI29">
            <v>17</v>
          </cell>
          <cell r="BJ29">
            <v>17</v>
          </cell>
          <cell r="BK29">
            <v>17</v>
          </cell>
          <cell r="BL29">
            <v>17</v>
          </cell>
          <cell r="BM29">
            <v>17</v>
          </cell>
          <cell r="BN29">
            <v>17</v>
          </cell>
          <cell r="BO29">
            <v>17</v>
          </cell>
        </row>
        <row r="30">
          <cell r="A30" t="str">
            <v>Burkina Faso</v>
          </cell>
          <cell r="B30">
            <v>98065</v>
          </cell>
          <cell r="C30">
            <v>97941</v>
          </cell>
          <cell r="D30">
            <v>97560</v>
          </cell>
          <cell r="E30">
            <v>96956</v>
          </cell>
          <cell r="F30">
            <v>96173</v>
          </cell>
          <cell r="G30">
            <v>95210</v>
          </cell>
          <cell r="H30">
            <v>94213</v>
          </cell>
          <cell r="I30">
            <v>93226</v>
          </cell>
          <cell r="J30">
            <v>92293</v>
          </cell>
          <cell r="K30">
            <v>91386</v>
          </cell>
          <cell r="L30">
            <v>90547</v>
          </cell>
          <cell r="M30">
            <v>47590</v>
          </cell>
          <cell r="N30">
            <v>49024</v>
          </cell>
          <cell r="O30">
            <v>50138</v>
          </cell>
          <cell r="P30">
            <v>50950</v>
          </cell>
          <cell r="Q30">
            <v>51502</v>
          </cell>
          <cell r="R30">
            <v>51826</v>
          </cell>
          <cell r="S30">
            <v>51922</v>
          </cell>
          <cell r="T30">
            <v>51841</v>
          </cell>
          <cell r="U30">
            <v>51650</v>
          </cell>
          <cell r="V30">
            <v>51321</v>
          </cell>
          <cell r="W30">
            <v>50942</v>
          </cell>
          <cell r="X30">
            <v>14379</v>
          </cell>
          <cell r="Y30">
            <v>14124</v>
          </cell>
          <cell r="Z30">
            <v>13649</v>
          </cell>
          <cell r="AA30">
            <v>13189</v>
          </cell>
          <cell r="AB30">
            <v>12697</v>
          </cell>
          <cell r="AC30">
            <v>12251</v>
          </cell>
          <cell r="AD30">
            <v>11865</v>
          </cell>
          <cell r="AE30">
            <v>11474</v>
          </cell>
          <cell r="AF30">
            <v>11056</v>
          </cell>
          <cell r="AG30">
            <v>10667</v>
          </cell>
          <cell r="AH30">
            <v>10263</v>
          </cell>
          <cell r="AI30">
            <v>3692</v>
          </cell>
          <cell r="AJ30">
            <v>3972</v>
          </cell>
          <cell r="AK30">
            <v>4194</v>
          </cell>
          <cell r="AL30">
            <v>4239</v>
          </cell>
          <cell r="AM30">
            <v>4268</v>
          </cell>
          <cell r="AN30">
            <v>4264</v>
          </cell>
          <cell r="AO30">
            <v>4214</v>
          </cell>
          <cell r="AP30">
            <v>4145</v>
          </cell>
          <cell r="AQ30">
            <v>4036</v>
          </cell>
          <cell r="AR30">
            <v>3931</v>
          </cell>
          <cell r="AS30">
            <v>3776</v>
          </cell>
          <cell r="AT30">
            <v>5975</v>
          </cell>
          <cell r="AU30">
            <v>5774</v>
          </cell>
          <cell r="AV30">
            <v>5560</v>
          </cell>
          <cell r="AW30">
            <v>5337</v>
          </cell>
          <cell r="AX30">
            <v>5100</v>
          </cell>
          <cell r="AY30">
            <v>4854</v>
          </cell>
          <cell r="AZ30">
            <v>4612</v>
          </cell>
          <cell r="BA30">
            <v>4377</v>
          </cell>
          <cell r="BB30">
            <v>4153</v>
          </cell>
          <cell r="BC30">
            <v>3939</v>
          </cell>
          <cell r="BD30">
            <v>3739</v>
          </cell>
          <cell r="BE30">
            <v>5284</v>
          </cell>
          <cell r="BF30">
            <v>5284</v>
          </cell>
          <cell r="BG30">
            <v>5284</v>
          </cell>
          <cell r="BH30">
            <v>5284</v>
          </cell>
          <cell r="BI30">
            <v>5100</v>
          </cell>
          <cell r="BJ30">
            <v>4854</v>
          </cell>
          <cell r="BK30">
            <v>4612</v>
          </cell>
          <cell r="BL30">
            <v>4377</v>
          </cell>
          <cell r="BM30">
            <v>4153</v>
          </cell>
          <cell r="BN30">
            <v>3939</v>
          </cell>
          <cell r="BO30">
            <v>3739</v>
          </cell>
        </row>
        <row r="31">
          <cell r="A31" t="str">
            <v>Burundi</v>
          </cell>
          <cell r="B31">
            <v>63304</v>
          </cell>
          <cell r="C31">
            <v>61812</v>
          </cell>
          <cell r="D31">
            <v>60984</v>
          </cell>
          <cell r="E31">
            <v>60664</v>
          </cell>
          <cell r="F31">
            <v>60656</v>
          </cell>
          <cell r="G31">
            <v>60783</v>
          </cell>
          <cell r="H31">
            <v>60969</v>
          </cell>
          <cell r="I31">
            <v>61149</v>
          </cell>
          <cell r="J31">
            <v>61293</v>
          </cell>
          <cell r="K31">
            <v>61380</v>
          </cell>
          <cell r="L31">
            <v>61361</v>
          </cell>
          <cell r="M31">
            <v>30156</v>
          </cell>
          <cell r="N31">
            <v>33634</v>
          </cell>
          <cell r="O31">
            <v>37381</v>
          </cell>
          <cell r="P31">
            <v>41317</v>
          </cell>
          <cell r="Q31">
            <v>45007</v>
          </cell>
          <cell r="R31">
            <v>47303</v>
          </cell>
          <cell r="S31">
            <v>48535</v>
          </cell>
          <cell r="T31">
            <v>49602</v>
          </cell>
          <cell r="U31">
            <v>50499</v>
          </cell>
          <cell r="V31">
            <v>51238</v>
          </cell>
          <cell r="W31">
            <v>51777</v>
          </cell>
          <cell r="X31">
            <v>14836</v>
          </cell>
          <cell r="Y31">
            <v>13966</v>
          </cell>
          <cell r="Z31">
            <v>13277</v>
          </cell>
          <cell r="AA31">
            <v>12515</v>
          </cell>
          <cell r="AB31">
            <v>11783</v>
          </cell>
          <cell r="AC31">
            <v>11111</v>
          </cell>
          <cell r="AD31">
            <v>10445</v>
          </cell>
          <cell r="AE31">
            <v>9763</v>
          </cell>
          <cell r="AF31">
            <v>9091</v>
          </cell>
          <cell r="AG31">
            <v>8483</v>
          </cell>
          <cell r="AH31">
            <v>7998</v>
          </cell>
          <cell r="AI31">
            <v>2669</v>
          </cell>
          <cell r="AJ31">
            <v>3275</v>
          </cell>
          <cell r="AK31">
            <v>3533</v>
          </cell>
          <cell r="AL31">
            <v>4002</v>
          </cell>
          <cell r="AM31">
            <v>4188</v>
          </cell>
          <cell r="AN31">
            <v>4476</v>
          </cell>
          <cell r="AO31">
            <v>4645</v>
          </cell>
          <cell r="AP31">
            <v>4802</v>
          </cell>
          <cell r="AQ31">
            <v>4941</v>
          </cell>
          <cell r="AR31">
            <v>5056</v>
          </cell>
          <cell r="AS31">
            <v>5205</v>
          </cell>
          <cell r="AT31">
            <v>4535</v>
          </cell>
          <cell r="AU31">
            <v>4144</v>
          </cell>
          <cell r="AV31">
            <v>3839</v>
          </cell>
          <cell r="AW31">
            <v>3583</v>
          </cell>
          <cell r="AX31">
            <v>3357</v>
          </cell>
          <cell r="AY31">
            <v>3131</v>
          </cell>
          <cell r="AZ31">
            <v>2913</v>
          </cell>
          <cell r="BA31">
            <v>2726</v>
          </cell>
          <cell r="BB31">
            <v>2570</v>
          </cell>
          <cell r="BC31">
            <v>2440</v>
          </cell>
          <cell r="BD31">
            <v>2333</v>
          </cell>
          <cell r="BE31">
            <v>3427</v>
          </cell>
          <cell r="BF31">
            <v>3510</v>
          </cell>
          <cell r="BG31">
            <v>3459</v>
          </cell>
          <cell r="BH31">
            <v>3130</v>
          </cell>
          <cell r="BI31">
            <v>2866</v>
          </cell>
          <cell r="BJ31">
            <v>2646</v>
          </cell>
          <cell r="BK31">
            <v>2646</v>
          </cell>
          <cell r="BL31">
            <v>2646</v>
          </cell>
          <cell r="BM31">
            <v>2570</v>
          </cell>
          <cell r="BN31">
            <v>2440</v>
          </cell>
          <cell r="BO31">
            <v>2333</v>
          </cell>
        </row>
        <row r="32">
          <cell r="A32" t="str">
            <v>Cambodia</v>
          </cell>
          <cell r="B32">
            <v>70649</v>
          </cell>
          <cell r="C32">
            <v>68429</v>
          </cell>
          <cell r="D32">
            <v>66051</v>
          </cell>
          <cell r="E32">
            <v>63707</v>
          </cell>
          <cell r="F32">
            <v>61487</v>
          </cell>
          <cell r="G32">
            <v>59487</v>
          </cell>
          <cell r="H32">
            <v>57785</v>
          </cell>
          <cell r="I32">
            <v>56233</v>
          </cell>
          <cell r="J32">
            <v>54765</v>
          </cell>
          <cell r="K32">
            <v>53365</v>
          </cell>
          <cell r="L32">
            <v>52024</v>
          </cell>
          <cell r="M32">
            <v>42080</v>
          </cell>
          <cell r="N32">
            <v>41880</v>
          </cell>
          <cell r="O32">
            <v>41586</v>
          </cell>
          <cell r="P32">
            <v>41325</v>
          </cell>
          <cell r="Q32">
            <v>41118</v>
          </cell>
          <cell r="R32">
            <v>41005</v>
          </cell>
          <cell r="S32">
            <v>40338</v>
          </cell>
          <cell r="T32">
            <v>39670</v>
          </cell>
          <cell r="U32">
            <v>38964</v>
          </cell>
          <cell r="V32">
            <v>38219</v>
          </cell>
          <cell r="W32">
            <v>37424</v>
          </cell>
          <cell r="X32">
            <v>5367</v>
          </cell>
          <cell r="Y32">
            <v>5241</v>
          </cell>
          <cell r="Z32">
            <v>4994</v>
          </cell>
          <cell r="AA32">
            <v>4721</v>
          </cell>
          <cell r="AB32">
            <v>4374</v>
          </cell>
          <cell r="AC32">
            <v>3914</v>
          </cell>
          <cell r="AD32">
            <v>3312</v>
          </cell>
          <cell r="AE32">
            <v>2697</v>
          </cell>
          <cell r="AF32">
            <v>2153</v>
          </cell>
          <cell r="AG32">
            <v>1697</v>
          </cell>
          <cell r="AH32">
            <v>1327</v>
          </cell>
          <cell r="AI32">
            <v>4653</v>
          </cell>
          <cell r="AJ32">
            <v>4603</v>
          </cell>
          <cell r="AK32">
            <v>4513</v>
          </cell>
          <cell r="AL32">
            <v>4296</v>
          </cell>
          <cell r="AM32">
            <v>4005</v>
          </cell>
          <cell r="AN32">
            <v>3598</v>
          </cell>
          <cell r="AO32">
            <v>3044</v>
          </cell>
          <cell r="AP32">
            <v>2464</v>
          </cell>
          <cell r="AQ32">
            <v>1946</v>
          </cell>
          <cell r="AR32">
            <v>1526</v>
          </cell>
          <cell r="AS32">
            <v>1233</v>
          </cell>
          <cell r="AT32">
            <v>1048</v>
          </cell>
          <cell r="AU32">
            <v>904</v>
          </cell>
          <cell r="AV32">
            <v>770</v>
          </cell>
          <cell r="AW32">
            <v>650</v>
          </cell>
          <cell r="AX32">
            <v>543</v>
          </cell>
          <cell r="AY32">
            <v>453</v>
          </cell>
          <cell r="AZ32">
            <v>385</v>
          </cell>
          <cell r="BA32">
            <v>337</v>
          </cell>
          <cell r="BB32">
            <v>306</v>
          </cell>
          <cell r="BC32">
            <v>286</v>
          </cell>
          <cell r="BD32">
            <v>276</v>
          </cell>
          <cell r="BE32">
            <v>754</v>
          </cell>
          <cell r="BF32">
            <v>674</v>
          </cell>
          <cell r="BG32">
            <v>598</v>
          </cell>
          <cell r="BH32">
            <v>525</v>
          </cell>
          <cell r="BI32">
            <v>458</v>
          </cell>
          <cell r="BJ32">
            <v>398</v>
          </cell>
          <cell r="BK32">
            <v>385</v>
          </cell>
          <cell r="BL32">
            <v>337</v>
          </cell>
          <cell r="BM32">
            <v>306</v>
          </cell>
          <cell r="BN32">
            <v>286</v>
          </cell>
          <cell r="BO32">
            <v>276</v>
          </cell>
        </row>
        <row r="33">
          <cell r="A33" t="str">
            <v>Cameroon</v>
          </cell>
          <cell r="B33">
            <v>625314</v>
          </cell>
          <cell r="C33">
            <v>627487</v>
          </cell>
          <cell r="D33">
            <v>630441</v>
          </cell>
          <cell r="E33">
            <v>633851</v>
          </cell>
          <cell r="F33">
            <v>638114</v>
          </cell>
          <cell r="G33">
            <v>643145</v>
          </cell>
          <cell r="H33">
            <v>648813</v>
          </cell>
          <cell r="I33">
            <v>654040</v>
          </cell>
          <cell r="J33">
            <v>658870</v>
          </cell>
          <cell r="K33">
            <v>663410</v>
          </cell>
          <cell r="L33">
            <v>667549</v>
          </cell>
          <cell r="M33">
            <v>170952</v>
          </cell>
          <cell r="N33">
            <v>194656</v>
          </cell>
          <cell r="O33">
            <v>220379</v>
          </cell>
          <cell r="P33">
            <v>248310</v>
          </cell>
          <cell r="Q33">
            <v>278645</v>
          </cell>
          <cell r="R33">
            <v>311649</v>
          </cell>
          <cell r="S33">
            <v>325182</v>
          </cell>
          <cell r="T33">
            <v>336626</v>
          </cell>
          <cell r="U33">
            <v>346225</v>
          </cell>
          <cell r="V33">
            <v>354234</v>
          </cell>
          <cell r="W33">
            <v>360890</v>
          </cell>
          <cell r="X33">
            <v>93984</v>
          </cell>
          <cell r="Y33">
            <v>93156</v>
          </cell>
          <cell r="Z33">
            <v>90958</v>
          </cell>
          <cell r="AA33">
            <v>88914</v>
          </cell>
          <cell r="AB33">
            <v>87025</v>
          </cell>
          <cell r="AC33">
            <v>86362</v>
          </cell>
          <cell r="AD33">
            <v>86754</v>
          </cell>
          <cell r="AE33">
            <v>86873</v>
          </cell>
          <cell r="AF33">
            <v>86429</v>
          </cell>
          <cell r="AG33">
            <v>85358</v>
          </cell>
          <cell r="AH33">
            <v>83954</v>
          </cell>
          <cell r="AI33">
            <v>18104</v>
          </cell>
          <cell r="AJ33">
            <v>22619</v>
          </cell>
          <cell r="AK33">
            <v>27319</v>
          </cell>
          <cell r="AL33">
            <v>32308</v>
          </cell>
          <cell r="AM33">
            <v>38106</v>
          </cell>
          <cell r="AN33">
            <v>45268</v>
          </cell>
          <cell r="AO33">
            <v>49694</v>
          </cell>
          <cell r="AP33">
            <v>55013</v>
          </cell>
          <cell r="AQ33">
            <v>59898</v>
          </cell>
          <cell r="AR33">
            <v>64006</v>
          </cell>
          <cell r="AS33">
            <v>66956</v>
          </cell>
          <cell r="AT33">
            <v>47572</v>
          </cell>
          <cell r="AU33">
            <v>46006</v>
          </cell>
          <cell r="AV33">
            <v>44356</v>
          </cell>
          <cell r="AW33">
            <v>42709</v>
          </cell>
          <cell r="AX33">
            <v>41063</v>
          </cell>
          <cell r="AY33">
            <v>39438</v>
          </cell>
          <cell r="AZ33">
            <v>37884</v>
          </cell>
          <cell r="BA33">
            <v>36422</v>
          </cell>
          <cell r="BB33">
            <v>35032</v>
          </cell>
          <cell r="BC33">
            <v>33728</v>
          </cell>
          <cell r="BD33">
            <v>32522</v>
          </cell>
          <cell r="BE33">
            <v>28053</v>
          </cell>
          <cell r="BF33">
            <v>28014</v>
          </cell>
          <cell r="BG33">
            <v>27786</v>
          </cell>
          <cell r="BH33">
            <v>28026</v>
          </cell>
          <cell r="BI33">
            <v>28164</v>
          </cell>
          <cell r="BJ33">
            <v>28180</v>
          </cell>
          <cell r="BK33">
            <v>28180</v>
          </cell>
          <cell r="BL33">
            <v>28180</v>
          </cell>
          <cell r="BM33">
            <v>28180</v>
          </cell>
          <cell r="BN33">
            <v>28180</v>
          </cell>
          <cell r="BO33">
            <v>28180</v>
          </cell>
        </row>
        <row r="34">
          <cell r="A34" t="str">
            <v>Canada</v>
          </cell>
          <cell r="B34">
            <v>79719</v>
          </cell>
          <cell r="C34">
            <v>82797</v>
          </cell>
          <cell r="D34">
            <v>85842</v>
          </cell>
          <cell r="E34">
            <v>88834</v>
          </cell>
          <cell r="F34">
            <v>91784</v>
          </cell>
          <cell r="G34">
            <v>94668</v>
          </cell>
          <cell r="H34">
            <v>97518</v>
          </cell>
          <cell r="I34">
            <v>100334</v>
          </cell>
          <cell r="J34">
            <v>103120</v>
          </cell>
          <cell r="K34">
            <v>105871</v>
          </cell>
          <cell r="L34">
            <v>108590</v>
          </cell>
          <cell r="M34">
            <v>55346</v>
          </cell>
          <cell r="N34">
            <v>58360</v>
          </cell>
          <cell r="O34">
            <v>61349</v>
          </cell>
          <cell r="P34">
            <v>64309</v>
          </cell>
          <cell r="Q34">
            <v>67235</v>
          </cell>
          <cell r="R34">
            <v>70112</v>
          </cell>
          <cell r="S34">
            <v>72948</v>
          </cell>
          <cell r="T34">
            <v>75744</v>
          </cell>
          <cell r="U34">
            <v>78502</v>
          </cell>
          <cell r="V34">
            <v>81219</v>
          </cell>
          <cell r="W34">
            <v>83897</v>
          </cell>
          <cell r="X34">
            <v>382</v>
          </cell>
          <cell r="Y34">
            <v>370</v>
          </cell>
          <cell r="Z34">
            <v>357</v>
          </cell>
          <cell r="AA34">
            <v>359</v>
          </cell>
          <cell r="AB34">
            <v>361</v>
          </cell>
          <cell r="AC34">
            <v>376</v>
          </cell>
          <cell r="AD34">
            <v>392</v>
          </cell>
          <cell r="AE34">
            <v>408</v>
          </cell>
          <cell r="AF34">
            <v>421</v>
          </cell>
          <cell r="AG34">
            <v>438</v>
          </cell>
          <cell r="AH34">
            <v>453</v>
          </cell>
          <cell r="AI34">
            <v>0</v>
          </cell>
          <cell r="AJ34">
            <v>0</v>
          </cell>
          <cell r="AK34">
            <v>0</v>
          </cell>
          <cell r="AL34">
            <v>0</v>
          </cell>
          <cell r="AM34">
            <v>0</v>
          </cell>
          <cell r="AN34">
            <v>0</v>
          </cell>
          <cell r="AO34">
            <v>0</v>
          </cell>
          <cell r="AP34">
            <v>0</v>
          </cell>
          <cell r="AQ34">
            <v>0</v>
          </cell>
          <cell r="AR34">
            <v>0</v>
          </cell>
          <cell r="AS34">
            <v>0</v>
          </cell>
          <cell r="AT34">
            <v>470</v>
          </cell>
          <cell r="AU34">
            <v>486</v>
          </cell>
          <cell r="AV34">
            <v>501</v>
          </cell>
          <cell r="AW34">
            <v>513</v>
          </cell>
          <cell r="AX34">
            <v>525</v>
          </cell>
          <cell r="AY34">
            <v>534</v>
          </cell>
          <cell r="AZ34">
            <v>542</v>
          </cell>
          <cell r="BA34">
            <v>548</v>
          </cell>
          <cell r="BB34">
            <v>554</v>
          </cell>
          <cell r="BC34">
            <v>561</v>
          </cell>
          <cell r="BD34">
            <v>565</v>
          </cell>
          <cell r="BE34">
            <v>435</v>
          </cell>
          <cell r="BF34">
            <v>447</v>
          </cell>
          <cell r="BG34">
            <v>458</v>
          </cell>
          <cell r="BH34">
            <v>469</v>
          </cell>
          <cell r="BI34">
            <v>478</v>
          </cell>
          <cell r="BJ34">
            <v>485</v>
          </cell>
          <cell r="BK34">
            <v>485</v>
          </cell>
          <cell r="BL34">
            <v>485</v>
          </cell>
          <cell r="BM34">
            <v>485</v>
          </cell>
          <cell r="BN34">
            <v>485</v>
          </cell>
          <cell r="BO34">
            <v>485</v>
          </cell>
        </row>
        <row r="35">
          <cell r="A35" t="str">
            <v>Cape Verde</v>
          </cell>
          <cell r="B35">
            <v>1800</v>
          </cell>
          <cell r="C35">
            <v>1817</v>
          </cell>
          <cell r="D35">
            <v>1822</v>
          </cell>
          <cell r="E35">
            <v>1823</v>
          </cell>
          <cell r="F35">
            <v>1826</v>
          </cell>
          <cell r="G35">
            <v>1837</v>
          </cell>
          <cell r="H35">
            <v>1851</v>
          </cell>
          <cell r="I35">
            <v>1863</v>
          </cell>
          <cell r="J35">
            <v>1875</v>
          </cell>
          <cell r="K35">
            <v>1887</v>
          </cell>
          <cell r="L35">
            <v>1898</v>
          </cell>
          <cell r="M35">
            <v>700</v>
          </cell>
          <cell r="N35">
            <v>757</v>
          </cell>
          <cell r="O35">
            <v>808</v>
          </cell>
          <cell r="P35">
            <v>855</v>
          </cell>
          <cell r="Q35">
            <v>907</v>
          </cell>
          <cell r="R35">
            <v>966</v>
          </cell>
          <cell r="S35">
            <v>985</v>
          </cell>
          <cell r="T35">
            <v>1002</v>
          </cell>
          <cell r="U35">
            <v>1018</v>
          </cell>
          <cell r="V35">
            <v>1032</v>
          </cell>
          <cell r="W35">
            <v>1044</v>
          </cell>
          <cell r="X35">
            <v>91</v>
          </cell>
          <cell r="Y35">
            <v>88</v>
          </cell>
          <cell r="Z35">
            <v>85</v>
          </cell>
          <cell r="AA35">
            <v>82</v>
          </cell>
          <cell r="AB35">
            <v>80</v>
          </cell>
          <cell r="AC35">
            <v>77</v>
          </cell>
          <cell r="AD35">
            <v>74</v>
          </cell>
          <cell r="AE35">
            <v>71</v>
          </cell>
          <cell r="AF35">
            <v>68</v>
          </cell>
          <cell r="AG35">
            <v>64</v>
          </cell>
          <cell r="AH35">
            <v>59</v>
          </cell>
          <cell r="AI35">
            <v>37</v>
          </cell>
          <cell r="AJ35">
            <v>38</v>
          </cell>
          <cell r="AK35">
            <v>40</v>
          </cell>
          <cell r="AL35">
            <v>42</v>
          </cell>
          <cell r="AM35">
            <v>43</v>
          </cell>
          <cell r="AN35">
            <v>44</v>
          </cell>
          <cell r="AO35">
            <v>44</v>
          </cell>
          <cell r="AP35">
            <v>44</v>
          </cell>
          <cell r="AQ35">
            <v>43</v>
          </cell>
          <cell r="AR35">
            <v>42</v>
          </cell>
          <cell r="AS35">
            <v>41</v>
          </cell>
          <cell r="AT35">
            <v>35</v>
          </cell>
          <cell r="AU35">
            <v>33</v>
          </cell>
          <cell r="AV35">
            <v>32</v>
          </cell>
          <cell r="AW35">
            <v>30</v>
          </cell>
          <cell r="AX35">
            <v>28</v>
          </cell>
          <cell r="AY35">
            <v>27</v>
          </cell>
          <cell r="AZ35">
            <v>26</v>
          </cell>
          <cell r="BA35">
            <v>25</v>
          </cell>
          <cell r="BB35">
            <v>24</v>
          </cell>
          <cell r="BC35">
            <v>23</v>
          </cell>
          <cell r="BD35">
            <v>22</v>
          </cell>
          <cell r="BE35">
            <v>35</v>
          </cell>
          <cell r="BF35">
            <v>33</v>
          </cell>
          <cell r="BG35">
            <v>32</v>
          </cell>
          <cell r="BH35">
            <v>30</v>
          </cell>
          <cell r="BI35">
            <v>28</v>
          </cell>
          <cell r="BJ35">
            <v>27</v>
          </cell>
          <cell r="BK35">
            <v>26</v>
          </cell>
          <cell r="BL35">
            <v>25</v>
          </cell>
          <cell r="BM35">
            <v>24</v>
          </cell>
          <cell r="BN35">
            <v>23</v>
          </cell>
          <cell r="BO35">
            <v>22</v>
          </cell>
        </row>
        <row r="36">
          <cell r="A36" t="str">
            <v>Caribbean</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row>
        <row r="37">
          <cell r="A37" t="str">
            <v>Central African Republic</v>
          </cell>
          <cell r="B37">
            <v>105133</v>
          </cell>
          <cell r="C37">
            <v>102038</v>
          </cell>
          <cell r="D37">
            <v>99466</v>
          </cell>
          <cell r="E37">
            <v>97386</v>
          </cell>
          <cell r="F37">
            <v>95706</v>
          </cell>
          <cell r="G37">
            <v>94305</v>
          </cell>
          <cell r="H37">
            <v>92946</v>
          </cell>
          <cell r="I37">
            <v>91514</v>
          </cell>
          <cell r="J37">
            <v>90076</v>
          </cell>
          <cell r="K37">
            <v>88660</v>
          </cell>
          <cell r="L37">
            <v>87316</v>
          </cell>
          <cell r="M37">
            <v>17144</v>
          </cell>
          <cell r="N37">
            <v>19373</v>
          </cell>
          <cell r="O37">
            <v>21754</v>
          </cell>
          <cell r="P37">
            <v>24256</v>
          </cell>
          <cell r="Q37">
            <v>26851</v>
          </cell>
          <cell r="R37">
            <v>29541</v>
          </cell>
          <cell r="S37">
            <v>29796</v>
          </cell>
          <cell r="T37">
            <v>29820</v>
          </cell>
          <cell r="U37">
            <v>29676</v>
          </cell>
          <cell r="V37">
            <v>29401</v>
          </cell>
          <cell r="W37">
            <v>29034</v>
          </cell>
          <cell r="X37">
            <v>14161</v>
          </cell>
          <cell r="Y37">
            <v>13177</v>
          </cell>
          <cell r="Z37">
            <v>12406</v>
          </cell>
          <cell r="AA37">
            <v>11616</v>
          </cell>
          <cell r="AB37">
            <v>10889</v>
          </cell>
          <cell r="AC37">
            <v>10237</v>
          </cell>
          <cell r="AD37">
            <v>9687</v>
          </cell>
          <cell r="AE37">
            <v>9154</v>
          </cell>
          <cell r="AF37">
            <v>8625</v>
          </cell>
          <cell r="AG37">
            <v>8152</v>
          </cell>
          <cell r="AH37">
            <v>7733</v>
          </cell>
          <cell r="AI37">
            <v>1062</v>
          </cell>
          <cell r="AJ37">
            <v>1194</v>
          </cell>
          <cell r="AK37">
            <v>1332</v>
          </cell>
          <cell r="AL37">
            <v>1503</v>
          </cell>
          <cell r="AM37">
            <v>1678</v>
          </cell>
          <cell r="AN37">
            <v>1825</v>
          </cell>
          <cell r="AO37">
            <v>1817</v>
          </cell>
          <cell r="AP37">
            <v>1810</v>
          </cell>
          <cell r="AQ37">
            <v>1785</v>
          </cell>
          <cell r="AR37">
            <v>1748</v>
          </cell>
          <cell r="AS37">
            <v>1726</v>
          </cell>
          <cell r="AT37">
            <v>4774</v>
          </cell>
          <cell r="AU37">
            <v>4478</v>
          </cell>
          <cell r="AV37">
            <v>4225</v>
          </cell>
          <cell r="AW37">
            <v>4008</v>
          </cell>
          <cell r="AX37">
            <v>3817</v>
          </cell>
          <cell r="AY37">
            <v>3645</v>
          </cell>
          <cell r="AZ37">
            <v>3471</v>
          </cell>
          <cell r="BA37">
            <v>3292</v>
          </cell>
          <cell r="BB37">
            <v>3124</v>
          </cell>
          <cell r="BC37">
            <v>2968</v>
          </cell>
          <cell r="BD37">
            <v>2824</v>
          </cell>
          <cell r="BE37">
            <v>3615</v>
          </cell>
          <cell r="BF37">
            <v>3615</v>
          </cell>
          <cell r="BG37">
            <v>3615</v>
          </cell>
          <cell r="BH37">
            <v>3615</v>
          </cell>
          <cell r="BI37">
            <v>3615</v>
          </cell>
          <cell r="BJ37">
            <v>3615</v>
          </cell>
          <cell r="BK37">
            <v>3471</v>
          </cell>
          <cell r="BL37">
            <v>3292</v>
          </cell>
          <cell r="BM37">
            <v>3124</v>
          </cell>
          <cell r="BN37">
            <v>2968</v>
          </cell>
          <cell r="BO37">
            <v>2824</v>
          </cell>
        </row>
        <row r="38">
          <cell r="A38" t="str">
            <v>Chad</v>
          </cell>
          <cell r="B38">
            <v>157540</v>
          </cell>
          <cell r="C38">
            <v>155813</v>
          </cell>
          <cell r="D38">
            <v>155056</v>
          </cell>
          <cell r="E38">
            <v>154886</v>
          </cell>
          <cell r="F38">
            <v>155220</v>
          </cell>
          <cell r="G38">
            <v>155834</v>
          </cell>
          <cell r="H38">
            <v>156659</v>
          </cell>
          <cell r="I38">
            <v>157539</v>
          </cell>
          <cell r="J38">
            <v>158440</v>
          </cell>
          <cell r="K38">
            <v>159402</v>
          </cell>
          <cell r="L38">
            <v>160508</v>
          </cell>
          <cell r="M38">
            <v>45686</v>
          </cell>
          <cell r="N38">
            <v>56570</v>
          </cell>
          <cell r="O38">
            <v>68249</v>
          </cell>
          <cell r="P38">
            <v>80584</v>
          </cell>
          <cell r="Q38">
            <v>93282</v>
          </cell>
          <cell r="R38">
            <v>100989</v>
          </cell>
          <cell r="S38">
            <v>105539</v>
          </cell>
          <cell r="T38">
            <v>109553</v>
          </cell>
          <cell r="U38">
            <v>113072</v>
          </cell>
          <cell r="V38">
            <v>116164</v>
          </cell>
          <cell r="W38">
            <v>118999</v>
          </cell>
          <cell r="X38">
            <v>27749</v>
          </cell>
          <cell r="Y38">
            <v>27277</v>
          </cell>
          <cell r="Z38">
            <v>27169</v>
          </cell>
          <cell r="AA38">
            <v>27259</v>
          </cell>
          <cell r="AB38">
            <v>27177</v>
          </cell>
          <cell r="AC38">
            <v>26775</v>
          </cell>
          <cell r="AD38">
            <v>26162</v>
          </cell>
          <cell r="AE38">
            <v>25418</v>
          </cell>
          <cell r="AF38">
            <v>24581</v>
          </cell>
          <cell r="AG38">
            <v>23619</v>
          </cell>
          <cell r="AH38">
            <v>22444</v>
          </cell>
          <cell r="AI38">
            <v>6657</v>
          </cell>
          <cell r="AJ38">
            <v>9244</v>
          </cell>
          <cell r="AK38">
            <v>11301</v>
          </cell>
          <cell r="AL38">
            <v>12840</v>
          </cell>
          <cell r="AM38">
            <v>14511</v>
          </cell>
          <cell r="AN38">
            <v>16327</v>
          </cell>
          <cell r="AO38">
            <v>17559</v>
          </cell>
          <cell r="AP38">
            <v>18464</v>
          </cell>
          <cell r="AQ38">
            <v>19119</v>
          </cell>
          <cell r="AR38">
            <v>19559</v>
          </cell>
          <cell r="AS38">
            <v>19633</v>
          </cell>
          <cell r="AT38">
            <v>11456</v>
          </cell>
          <cell r="AU38">
            <v>10988</v>
          </cell>
          <cell r="AV38">
            <v>10592</v>
          </cell>
          <cell r="AW38">
            <v>10234</v>
          </cell>
          <cell r="AX38">
            <v>9901</v>
          </cell>
          <cell r="AY38">
            <v>9486</v>
          </cell>
          <cell r="AZ38">
            <v>8990</v>
          </cell>
          <cell r="BA38">
            <v>8525</v>
          </cell>
          <cell r="BB38">
            <v>8087</v>
          </cell>
          <cell r="BC38">
            <v>7677</v>
          </cell>
          <cell r="BD38">
            <v>7303</v>
          </cell>
          <cell r="BE38">
            <v>3549</v>
          </cell>
          <cell r="BF38">
            <v>4239</v>
          </cell>
          <cell r="BG38">
            <v>4930</v>
          </cell>
          <cell r="BH38">
            <v>5620</v>
          </cell>
          <cell r="BI38">
            <v>6310</v>
          </cell>
          <cell r="BJ38">
            <v>7000</v>
          </cell>
          <cell r="BK38">
            <v>7000</v>
          </cell>
          <cell r="BL38">
            <v>7000</v>
          </cell>
          <cell r="BM38">
            <v>7000</v>
          </cell>
          <cell r="BN38">
            <v>7000</v>
          </cell>
          <cell r="BO38">
            <v>7000</v>
          </cell>
        </row>
        <row r="39">
          <cell r="A39" t="str">
            <v>Chile</v>
          </cell>
          <cell r="B39">
            <v>42916</v>
          </cell>
          <cell r="C39">
            <v>44334</v>
          </cell>
          <cell r="D39">
            <v>45648</v>
          </cell>
          <cell r="E39">
            <v>46914</v>
          </cell>
          <cell r="F39">
            <v>48130</v>
          </cell>
          <cell r="G39">
            <v>49301</v>
          </cell>
          <cell r="H39">
            <v>50461</v>
          </cell>
          <cell r="I39">
            <v>51607</v>
          </cell>
          <cell r="J39">
            <v>52740</v>
          </cell>
          <cell r="K39">
            <v>53855</v>
          </cell>
          <cell r="L39">
            <v>54950</v>
          </cell>
          <cell r="M39">
            <v>27256</v>
          </cell>
          <cell r="N39">
            <v>29014</v>
          </cell>
          <cell r="O39">
            <v>30705</v>
          </cell>
          <cell r="P39">
            <v>32325</v>
          </cell>
          <cell r="Q39">
            <v>33877</v>
          </cell>
          <cell r="R39">
            <v>35365</v>
          </cell>
          <cell r="S39">
            <v>36788</v>
          </cell>
          <cell r="T39">
            <v>38154</v>
          </cell>
          <cell r="U39">
            <v>39470</v>
          </cell>
          <cell r="V39">
            <v>40739</v>
          </cell>
          <cell r="W39">
            <v>41968</v>
          </cell>
          <cell r="X39">
            <v>282</v>
          </cell>
          <cell r="Y39">
            <v>265</v>
          </cell>
          <cell r="Z39">
            <v>252</v>
          </cell>
          <cell r="AA39">
            <v>241</v>
          </cell>
          <cell r="AB39">
            <v>231</v>
          </cell>
          <cell r="AC39">
            <v>222</v>
          </cell>
          <cell r="AD39">
            <v>215</v>
          </cell>
          <cell r="AE39">
            <v>209</v>
          </cell>
          <cell r="AF39">
            <v>204</v>
          </cell>
          <cell r="AG39">
            <v>201</v>
          </cell>
          <cell r="AH39">
            <v>205</v>
          </cell>
          <cell r="AI39">
            <v>158</v>
          </cell>
          <cell r="AJ39">
            <v>154</v>
          </cell>
          <cell r="AK39">
            <v>150</v>
          </cell>
          <cell r="AL39">
            <v>149</v>
          </cell>
          <cell r="AM39">
            <v>150</v>
          </cell>
          <cell r="AN39">
            <v>150</v>
          </cell>
          <cell r="AO39">
            <v>153</v>
          </cell>
          <cell r="AP39">
            <v>156</v>
          </cell>
          <cell r="AQ39">
            <v>161</v>
          </cell>
          <cell r="AR39">
            <v>167</v>
          </cell>
          <cell r="AS39">
            <v>173</v>
          </cell>
          <cell r="AT39">
            <v>140</v>
          </cell>
          <cell r="AU39">
            <v>146</v>
          </cell>
          <cell r="AV39">
            <v>152</v>
          </cell>
          <cell r="AW39">
            <v>159</v>
          </cell>
          <cell r="AX39">
            <v>165</v>
          </cell>
          <cell r="AY39">
            <v>172</v>
          </cell>
          <cell r="AZ39">
            <v>178</v>
          </cell>
          <cell r="BA39">
            <v>183</v>
          </cell>
          <cell r="BB39">
            <v>188</v>
          </cell>
          <cell r="BC39">
            <v>191</v>
          </cell>
          <cell r="BD39">
            <v>194</v>
          </cell>
          <cell r="BE39">
            <v>140</v>
          </cell>
          <cell r="BF39">
            <v>146</v>
          </cell>
          <cell r="BG39">
            <v>152</v>
          </cell>
          <cell r="BH39">
            <v>159</v>
          </cell>
          <cell r="BI39">
            <v>165</v>
          </cell>
          <cell r="BJ39">
            <v>172</v>
          </cell>
          <cell r="BK39">
            <v>178</v>
          </cell>
          <cell r="BL39">
            <v>183</v>
          </cell>
          <cell r="BM39">
            <v>188</v>
          </cell>
          <cell r="BN39">
            <v>191</v>
          </cell>
          <cell r="BO39">
            <v>194</v>
          </cell>
        </row>
        <row r="40">
          <cell r="A40" t="str">
            <v>China</v>
          </cell>
          <cell r="B40">
            <v>849348</v>
          </cell>
          <cell r="C40">
            <v>870747</v>
          </cell>
          <cell r="D40">
            <v>887153</v>
          </cell>
          <cell r="E40">
            <v>899983</v>
          </cell>
          <cell r="F40">
            <v>910040</v>
          </cell>
          <cell r="G40">
            <v>917663</v>
          </cell>
          <cell r="H40">
            <v>923157</v>
          </cell>
          <cell r="I40">
            <v>926908</v>
          </cell>
          <cell r="J40">
            <v>929136</v>
          </cell>
          <cell r="K40">
            <v>930005</v>
          </cell>
          <cell r="L40">
            <v>929763</v>
          </cell>
          <cell r="M40">
            <v>204680</v>
          </cell>
          <cell r="N40">
            <v>215006</v>
          </cell>
          <cell r="O40">
            <v>223098</v>
          </cell>
          <cell r="P40">
            <v>229676</v>
          </cell>
          <cell r="Q40">
            <v>235143</v>
          </cell>
          <cell r="R40">
            <v>239648</v>
          </cell>
          <cell r="S40">
            <v>243325</v>
          </cell>
          <cell r="T40">
            <v>246301</v>
          </cell>
          <cell r="U40">
            <v>248643</v>
          </cell>
          <cell r="V40">
            <v>250409</v>
          </cell>
          <cell r="W40">
            <v>251629</v>
          </cell>
          <cell r="X40">
            <v>18671</v>
          </cell>
          <cell r="Y40">
            <v>19015</v>
          </cell>
          <cell r="Z40">
            <v>20340</v>
          </cell>
          <cell r="AA40">
            <v>20932</v>
          </cell>
          <cell r="AB40">
            <v>21405</v>
          </cell>
          <cell r="AC40">
            <v>21696</v>
          </cell>
          <cell r="AD40">
            <v>21898</v>
          </cell>
          <cell r="AE40">
            <v>21982</v>
          </cell>
          <cell r="AF40">
            <v>21917</v>
          </cell>
          <cell r="AG40">
            <v>21806</v>
          </cell>
          <cell r="AH40">
            <v>21657</v>
          </cell>
          <cell r="AI40">
            <v>4428</v>
          </cell>
          <cell r="AJ40">
            <v>4692</v>
          </cell>
          <cell r="AK40">
            <v>4950</v>
          </cell>
          <cell r="AL40">
            <v>5461</v>
          </cell>
          <cell r="AM40">
            <v>5675</v>
          </cell>
          <cell r="AN40">
            <v>5940</v>
          </cell>
          <cell r="AO40">
            <v>6005</v>
          </cell>
          <cell r="AP40">
            <v>5967</v>
          </cell>
          <cell r="AQ40">
            <v>5897</v>
          </cell>
          <cell r="AR40">
            <v>5784</v>
          </cell>
          <cell r="AS40">
            <v>5691</v>
          </cell>
          <cell r="AT40">
            <v>6594</v>
          </cell>
          <cell r="AU40">
            <v>6563</v>
          </cell>
          <cell r="AV40">
            <v>6469</v>
          </cell>
          <cell r="AW40">
            <v>6332</v>
          </cell>
          <cell r="AX40">
            <v>6183</v>
          </cell>
          <cell r="AY40">
            <v>6034</v>
          </cell>
          <cell r="AZ40">
            <v>5892</v>
          </cell>
          <cell r="BA40">
            <v>5756</v>
          </cell>
          <cell r="BB40">
            <v>5626</v>
          </cell>
          <cell r="BC40">
            <v>5507</v>
          </cell>
          <cell r="BD40">
            <v>5407</v>
          </cell>
          <cell r="BE40">
            <v>2200</v>
          </cell>
          <cell r="BF40">
            <v>2200</v>
          </cell>
          <cell r="BG40">
            <v>2200</v>
          </cell>
          <cell r="BH40">
            <v>2200</v>
          </cell>
          <cell r="BI40">
            <v>2200</v>
          </cell>
          <cell r="BJ40">
            <v>2200</v>
          </cell>
          <cell r="BK40">
            <v>2200</v>
          </cell>
          <cell r="BL40">
            <v>2200</v>
          </cell>
          <cell r="BM40">
            <v>2200</v>
          </cell>
          <cell r="BN40">
            <v>2200</v>
          </cell>
          <cell r="BO40">
            <v>2200</v>
          </cell>
        </row>
        <row r="41">
          <cell r="A41" t="str">
            <v>Colombia</v>
          </cell>
          <cell r="B41">
            <v>150211</v>
          </cell>
          <cell r="C41">
            <v>153530</v>
          </cell>
          <cell r="D41">
            <v>156951</v>
          </cell>
          <cell r="E41">
            <v>160543</v>
          </cell>
          <cell r="F41">
            <v>164358</v>
          </cell>
          <cell r="G41">
            <v>168415</v>
          </cell>
          <cell r="H41">
            <v>172380</v>
          </cell>
          <cell r="I41">
            <v>176095</v>
          </cell>
          <cell r="J41">
            <v>179515</v>
          </cell>
          <cell r="K41">
            <v>182675</v>
          </cell>
          <cell r="L41">
            <v>185657</v>
          </cell>
          <cell r="M41">
            <v>46087</v>
          </cell>
          <cell r="N41">
            <v>50730</v>
          </cell>
          <cell r="O41">
            <v>55605</v>
          </cell>
          <cell r="P41">
            <v>60793</v>
          </cell>
          <cell r="Q41">
            <v>66355</v>
          </cell>
          <cell r="R41">
            <v>72334</v>
          </cell>
          <cell r="S41">
            <v>75518</v>
          </cell>
          <cell r="T41">
            <v>78425</v>
          </cell>
          <cell r="U41">
            <v>81030</v>
          </cell>
          <cell r="V41">
            <v>83372</v>
          </cell>
          <cell r="W41">
            <v>85522</v>
          </cell>
          <cell r="X41">
            <v>6109</v>
          </cell>
          <cell r="Y41">
            <v>5786</v>
          </cell>
          <cell r="Z41">
            <v>5554</v>
          </cell>
          <cell r="AA41">
            <v>5371</v>
          </cell>
          <cell r="AB41">
            <v>5224</v>
          </cell>
          <cell r="AC41">
            <v>5101</v>
          </cell>
          <cell r="AD41">
            <v>4980</v>
          </cell>
          <cell r="AE41">
            <v>4861</v>
          </cell>
          <cell r="AF41">
            <v>4823</v>
          </cell>
          <cell r="AG41">
            <v>4845</v>
          </cell>
          <cell r="AH41">
            <v>4860</v>
          </cell>
          <cell r="AI41">
            <v>5454</v>
          </cell>
          <cell r="AJ41">
            <v>5243</v>
          </cell>
          <cell r="AK41">
            <v>5084</v>
          </cell>
          <cell r="AL41">
            <v>4955</v>
          </cell>
          <cell r="AM41">
            <v>4846</v>
          </cell>
          <cell r="AN41">
            <v>4764</v>
          </cell>
          <cell r="AO41">
            <v>4675</v>
          </cell>
          <cell r="AP41">
            <v>4572</v>
          </cell>
          <cell r="AQ41">
            <v>4545</v>
          </cell>
          <cell r="AR41">
            <v>4560</v>
          </cell>
          <cell r="AS41">
            <v>4567</v>
          </cell>
          <cell r="AT41">
            <v>1435</v>
          </cell>
          <cell r="AU41">
            <v>1429</v>
          </cell>
          <cell r="AV41">
            <v>1428</v>
          </cell>
          <cell r="AW41">
            <v>1431</v>
          </cell>
          <cell r="AX41">
            <v>1437</v>
          </cell>
          <cell r="AY41">
            <v>1448</v>
          </cell>
          <cell r="AZ41">
            <v>1458</v>
          </cell>
          <cell r="BA41">
            <v>1462</v>
          </cell>
          <cell r="BB41">
            <v>1461</v>
          </cell>
          <cell r="BC41">
            <v>1456</v>
          </cell>
          <cell r="BD41">
            <v>1449</v>
          </cell>
          <cell r="BE41">
            <v>805</v>
          </cell>
          <cell r="BF41">
            <v>828</v>
          </cell>
          <cell r="BG41">
            <v>853</v>
          </cell>
          <cell r="BH41">
            <v>876</v>
          </cell>
          <cell r="BI41">
            <v>899</v>
          </cell>
          <cell r="BJ41">
            <v>923</v>
          </cell>
          <cell r="BK41">
            <v>923</v>
          </cell>
          <cell r="BL41">
            <v>923</v>
          </cell>
          <cell r="BM41">
            <v>923</v>
          </cell>
          <cell r="BN41">
            <v>923</v>
          </cell>
          <cell r="BO41">
            <v>923</v>
          </cell>
        </row>
        <row r="42">
          <cell r="A42" t="str">
            <v>Comoros</v>
          </cell>
          <cell r="B42">
            <v>377</v>
          </cell>
          <cell r="C42">
            <v>416</v>
          </cell>
          <cell r="D42">
            <v>454</v>
          </cell>
          <cell r="E42">
            <v>490</v>
          </cell>
          <cell r="F42">
            <v>524</v>
          </cell>
          <cell r="G42">
            <v>557</v>
          </cell>
          <cell r="H42">
            <v>588</v>
          </cell>
          <cell r="I42">
            <v>618</v>
          </cell>
          <cell r="J42">
            <v>646</v>
          </cell>
          <cell r="K42">
            <v>674</v>
          </cell>
          <cell r="L42">
            <v>700</v>
          </cell>
          <cell r="M42">
            <v>1</v>
          </cell>
          <cell r="N42">
            <v>0.80713000000000001</v>
          </cell>
          <cell r="O42">
            <v>0.59245999999999999</v>
          </cell>
          <cell r="P42">
            <v>0.48198000000000002</v>
          </cell>
          <cell r="Q42">
            <v>0.40952</v>
          </cell>
          <cell r="R42">
            <v>0.36660999999999999</v>
          </cell>
          <cell r="S42">
            <v>0.39099</v>
          </cell>
          <cell r="T42">
            <v>0.41438000000000003</v>
          </cell>
          <cell r="U42">
            <v>0.43630000000000002</v>
          </cell>
          <cell r="V42">
            <v>0.45695000000000002</v>
          </cell>
          <cell r="W42">
            <v>0.47643000000000002</v>
          </cell>
          <cell r="X42">
            <v>18</v>
          </cell>
          <cell r="Y42">
            <v>20</v>
          </cell>
          <cell r="Z42">
            <v>21</v>
          </cell>
          <cell r="AA42">
            <v>23</v>
          </cell>
          <cell r="AB42">
            <v>25</v>
          </cell>
          <cell r="AC42">
            <v>27</v>
          </cell>
          <cell r="AD42">
            <v>28</v>
          </cell>
          <cell r="AE42">
            <v>30</v>
          </cell>
          <cell r="AF42">
            <v>31</v>
          </cell>
          <cell r="AG42">
            <v>33</v>
          </cell>
          <cell r="AH42">
            <v>34</v>
          </cell>
          <cell r="AI42">
            <v>4.3619999999999999E-2</v>
          </cell>
          <cell r="AJ42">
            <v>3.252E-2</v>
          </cell>
          <cell r="AK42">
            <v>2.5999999999999999E-2</v>
          </cell>
          <cell r="AL42">
            <v>2.1569999999999999E-2</v>
          </cell>
          <cell r="AM42">
            <v>1.839E-2</v>
          </cell>
          <cell r="AN42">
            <v>1.7420000000000001E-2</v>
          </cell>
          <cell r="AO42">
            <v>1.787E-2</v>
          </cell>
          <cell r="AP42">
            <v>1.8180000000000002E-2</v>
          </cell>
          <cell r="AQ42">
            <v>1.8530000000000001E-2</v>
          </cell>
          <cell r="AR42">
            <v>1.8970000000000001E-2</v>
          </cell>
          <cell r="AS42">
            <v>1.9439999999999999E-2</v>
          </cell>
          <cell r="AT42">
            <v>12</v>
          </cell>
          <cell r="AU42">
            <v>13</v>
          </cell>
          <cell r="AV42">
            <v>14</v>
          </cell>
          <cell r="AW42">
            <v>15</v>
          </cell>
          <cell r="AX42">
            <v>16</v>
          </cell>
          <cell r="AY42">
            <v>16</v>
          </cell>
          <cell r="AZ42">
            <v>17</v>
          </cell>
          <cell r="BA42">
            <v>18</v>
          </cell>
          <cell r="BB42">
            <v>18</v>
          </cell>
          <cell r="BC42">
            <v>19</v>
          </cell>
          <cell r="BD42">
            <v>19</v>
          </cell>
          <cell r="BE42">
            <v>4</v>
          </cell>
          <cell r="BF42">
            <v>4</v>
          </cell>
          <cell r="BG42">
            <v>4</v>
          </cell>
          <cell r="BH42">
            <v>4</v>
          </cell>
          <cell r="BI42">
            <v>4</v>
          </cell>
          <cell r="BJ42">
            <v>4</v>
          </cell>
          <cell r="BK42">
            <v>4</v>
          </cell>
          <cell r="BL42">
            <v>4</v>
          </cell>
          <cell r="BM42">
            <v>4</v>
          </cell>
          <cell r="BN42">
            <v>4</v>
          </cell>
          <cell r="BO42">
            <v>4</v>
          </cell>
        </row>
        <row r="43">
          <cell r="A43" t="str">
            <v>Congo</v>
          </cell>
          <cell r="B43">
            <v>72749</v>
          </cell>
          <cell r="C43">
            <v>70264</v>
          </cell>
          <cell r="D43">
            <v>67731</v>
          </cell>
          <cell r="E43">
            <v>65261</v>
          </cell>
          <cell r="F43">
            <v>62922</v>
          </cell>
          <cell r="G43">
            <v>60904</v>
          </cell>
          <cell r="H43">
            <v>59154</v>
          </cell>
          <cell r="I43">
            <v>57638</v>
          </cell>
          <cell r="J43">
            <v>56369</v>
          </cell>
          <cell r="K43">
            <v>55363</v>
          </cell>
          <cell r="L43">
            <v>54572</v>
          </cell>
          <cell r="M43">
            <v>14175</v>
          </cell>
          <cell r="N43">
            <v>14809</v>
          </cell>
          <cell r="O43">
            <v>15359</v>
          </cell>
          <cell r="P43">
            <v>15836</v>
          </cell>
          <cell r="Q43">
            <v>16298</v>
          </cell>
          <cell r="R43">
            <v>16764</v>
          </cell>
          <cell r="S43">
            <v>16353</v>
          </cell>
          <cell r="T43">
            <v>15951</v>
          </cell>
          <cell r="U43">
            <v>15574</v>
          </cell>
          <cell r="V43">
            <v>15243</v>
          </cell>
          <cell r="W43">
            <v>14947</v>
          </cell>
          <cell r="X43">
            <v>9700</v>
          </cell>
          <cell r="Y43">
            <v>9356</v>
          </cell>
          <cell r="Z43">
            <v>9013</v>
          </cell>
          <cell r="AA43">
            <v>8688</v>
          </cell>
          <cell r="AB43">
            <v>8348</v>
          </cell>
          <cell r="AC43">
            <v>7987</v>
          </cell>
          <cell r="AD43">
            <v>7615</v>
          </cell>
          <cell r="AE43">
            <v>7225</v>
          </cell>
          <cell r="AF43">
            <v>6818</v>
          </cell>
          <cell r="AG43">
            <v>6395</v>
          </cell>
          <cell r="AH43">
            <v>6006</v>
          </cell>
          <cell r="AI43">
            <v>1070</v>
          </cell>
          <cell r="AJ43">
            <v>1136</v>
          </cell>
          <cell r="AK43">
            <v>1187</v>
          </cell>
          <cell r="AL43">
            <v>1230</v>
          </cell>
          <cell r="AM43">
            <v>1271</v>
          </cell>
          <cell r="AN43">
            <v>1283</v>
          </cell>
          <cell r="AO43">
            <v>1205</v>
          </cell>
          <cell r="AP43">
            <v>1132</v>
          </cell>
          <cell r="AQ43">
            <v>1059</v>
          </cell>
          <cell r="AR43">
            <v>983</v>
          </cell>
          <cell r="AS43">
            <v>917</v>
          </cell>
          <cell r="AT43">
            <v>4082</v>
          </cell>
          <cell r="AU43">
            <v>3823</v>
          </cell>
          <cell r="AV43">
            <v>3576</v>
          </cell>
          <cell r="AW43">
            <v>3343</v>
          </cell>
          <cell r="AX43">
            <v>3125</v>
          </cell>
          <cell r="AY43">
            <v>2928</v>
          </cell>
          <cell r="AZ43">
            <v>2758</v>
          </cell>
          <cell r="BA43">
            <v>2615</v>
          </cell>
          <cell r="BB43">
            <v>2498</v>
          </cell>
          <cell r="BC43">
            <v>2403</v>
          </cell>
          <cell r="BD43">
            <v>2331</v>
          </cell>
          <cell r="BE43">
            <v>924</v>
          </cell>
          <cell r="BF43">
            <v>1040</v>
          </cell>
          <cell r="BG43">
            <v>1155</v>
          </cell>
          <cell r="BH43">
            <v>1270</v>
          </cell>
          <cell r="BI43">
            <v>1385</v>
          </cell>
          <cell r="BJ43">
            <v>1500</v>
          </cell>
          <cell r="BK43">
            <v>1500</v>
          </cell>
          <cell r="BL43">
            <v>1500</v>
          </cell>
          <cell r="BM43">
            <v>1500</v>
          </cell>
          <cell r="BN43">
            <v>1500</v>
          </cell>
          <cell r="BO43">
            <v>1500</v>
          </cell>
        </row>
        <row r="44">
          <cell r="A44" t="str">
            <v>Costa Rica</v>
          </cell>
          <cell r="B44">
            <v>8169</v>
          </cell>
          <cell r="C44">
            <v>8305</v>
          </cell>
          <cell r="D44">
            <v>8438</v>
          </cell>
          <cell r="E44">
            <v>8553</v>
          </cell>
          <cell r="F44">
            <v>8657</v>
          </cell>
          <cell r="G44">
            <v>8752</v>
          </cell>
          <cell r="H44">
            <v>8847</v>
          </cell>
          <cell r="I44">
            <v>8940</v>
          </cell>
          <cell r="J44">
            <v>9031</v>
          </cell>
          <cell r="K44">
            <v>9119</v>
          </cell>
          <cell r="L44">
            <v>9204</v>
          </cell>
          <cell r="M44">
            <v>4544</v>
          </cell>
          <cell r="N44">
            <v>5093</v>
          </cell>
          <cell r="O44">
            <v>5607</v>
          </cell>
          <cell r="P44">
            <v>5825</v>
          </cell>
          <cell r="Q44">
            <v>6094</v>
          </cell>
          <cell r="R44">
            <v>6331</v>
          </cell>
          <cell r="S44">
            <v>6524</v>
          </cell>
          <cell r="T44">
            <v>6700</v>
          </cell>
          <cell r="U44">
            <v>6860</v>
          </cell>
          <cell r="V44">
            <v>7006</v>
          </cell>
          <cell r="W44">
            <v>7141</v>
          </cell>
          <cell r="X44">
            <v>125</v>
          </cell>
          <cell r="Y44">
            <v>120</v>
          </cell>
          <cell r="Z44">
            <v>113</v>
          </cell>
          <cell r="AA44">
            <v>106</v>
          </cell>
          <cell r="AB44">
            <v>97</v>
          </cell>
          <cell r="AC44">
            <v>88</v>
          </cell>
          <cell r="AD44">
            <v>80</v>
          </cell>
          <cell r="AE44">
            <v>71</v>
          </cell>
          <cell r="AF44">
            <v>64</v>
          </cell>
          <cell r="AG44">
            <v>56</v>
          </cell>
          <cell r="AH44">
            <v>50</v>
          </cell>
          <cell r="AI44">
            <v>77</v>
          </cell>
          <cell r="AJ44">
            <v>75</v>
          </cell>
          <cell r="AK44">
            <v>73</v>
          </cell>
          <cell r="AL44">
            <v>69</v>
          </cell>
          <cell r="AM44">
            <v>65</v>
          </cell>
          <cell r="AN44">
            <v>61</v>
          </cell>
          <cell r="AO44">
            <v>57</v>
          </cell>
          <cell r="AP44">
            <v>53</v>
          </cell>
          <cell r="AQ44">
            <v>49</v>
          </cell>
          <cell r="AR44">
            <v>47</v>
          </cell>
          <cell r="AS44">
            <v>43</v>
          </cell>
          <cell r="AT44">
            <v>33</v>
          </cell>
          <cell r="AU44">
            <v>32</v>
          </cell>
          <cell r="AV44">
            <v>30</v>
          </cell>
          <cell r="AW44">
            <v>29</v>
          </cell>
          <cell r="AX44">
            <v>28</v>
          </cell>
          <cell r="AY44">
            <v>27</v>
          </cell>
          <cell r="AZ44">
            <v>26</v>
          </cell>
          <cell r="BA44">
            <v>24</v>
          </cell>
          <cell r="BB44">
            <v>23</v>
          </cell>
          <cell r="BC44">
            <v>23</v>
          </cell>
          <cell r="BD44">
            <v>22</v>
          </cell>
          <cell r="BE44">
            <v>33</v>
          </cell>
          <cell r="BF44">
            <v>32</v>
          </cell>
          <cell r="BG44">
            <v>30</v>
          </cell>
          <cell r="BH44">
            <v>29</v>
          </cell>
          <cell r="BI44">
            <v>28</v>
          </cell>
          <cell r="BJ44">
            <v>27</v>
          </cell>
          <cell r="BK44">
            <v>26</v>
          </cell>
          <cell r="BL44">
            <v>24</v>
          </cell>
          <cell r="BM44">
            <v>23</v>
          </cell>
          <cell r="BN44">
            <v>23</v>
          </cell>
          <cell r="BO44">
            <v>22</v>
          </cell>
        </row>
        <row r="45">
          <cell r="A45" t="str">
            <v>Côte d'Ivoire</v>
          </cell>
          <cell r="B45">
            <v>346806</v>
          </cell>
          <cell r="C45">
            <v>345723</v>
          </cell>
          <cell r="D45">
            <v>345518</v>
          </cell>
          <cell r="E45">
            <v>344251</v>
          </cell>
          <cell r="F45">
            <v>341406</v>
          </cell>
          <cell r="G45">
            <v>337683</v>
          </cell>
          <cell r="H45">
            <v>333901</v>
          </cell>
          <cell r="I45">
            <v>330199</v>
          </cell>
          <cell r="J45">
            <v>326624</v>
          </cell>
          <cell r="K45">
            <v>323205</v>
          </cell>
          <cell r="L45">
            <v>319922</v>
          </cell>
          <cell r="M45">
            <v>173985</v>
          </cell>
          <cell r="N45">
            <v>182319</v>
          </cell>
          <cell r="O45">
            <v>187868</v>
          </cell>
          <cell r="P45">
            <v>190108</v>
          </cell>
          <cell r="Q45">
            <v>197247</v>
          </cell>
          <cell r="R45">
            <v>203856</v>
          </cell>
          <cell r="S45">
            <v>206450</v>
          </cell>
          <cell r="T45">
            <v>208361</v>
          </cell>
          <cell r="U45">
            <v>209739</v>
          </cell>
          <cell r="V45">
            <v>210653</v>
          </cell>
          <cell r="W45">
            <v>211104</v>
          </cell>
          <cell r="X45">
            <v>53363</v>
          </cell>
          <cell r="Y45">
            <v>47095</v>
          </cell>
          <cell r="Z45">
            <v>41273</v>
          </cell>
          <cell r="AA45">
            <v>35861</v>
          </cell>
          <cell r="AB45">
            <v>31329</v>
          </cell>
          <cell r="AC45">
            <v>27172</v>
          </cell>
          <cell r="AD45">
            <v>23428</v>
          </cell>
          <cell r="AE45">
            <v>20027</v>
          </cell>
          <cell r="AF45">
            <v>17004</v>
          </cell>
          <cell r="AG45">
            <v>14419</v>
          </cell>
          <cell r="AH45">
            <v>12249</v>
          </cell>
          <cell r="AI45">
            <v>5523</v>
          </cell>
          <cell r="AJ45">
            <v>5195</v>
          </cell>
          <cell r="AK45">
            <v>7555</v>
          </cell>
          <cell r="AL45">
            <v>7015</v>
          </cell>
          <cell r="AM45">
            <v>7014</v>
          </cell>
          <cell r="AN45">
            <v>6890</v>
          </cell>
          <cell r="AO45">
            <v>6356</v>
          </cell>
          <cell r="AP45">
            <v>5893</v>
          </cell>
          <cell r="AQ45">
            <v>5365</v>
          </cell>
          <cell r="AR45">
            <v>4818</v>
          </cell>
          <cell r="AS45">
            <v>4479</v>
          </cell>
          <cell r="AT45">
            <v>22320</v>
          </cell>
          <cell r="AU45">
            <v>21145</v>
          </cell>
          <cell r="AV45">
            <v>20080</v>
          </cell>
          <cell r="AW45">
            <v>19236</v>
          </cell>
          <cell r="AX45">
            <v>18442</v>
          </cell>
          <cell r="AY45">
            <v>17635</v>
          </cell>
          <cell r="AZ45">
            <v>16856</v>
          </cell>
          <cell r="BA45">
            <v>16135</v>
          </cell>
          <cell r="BB45">
            <v>15458</v>
          </cell>
          <cell r="BC45">
            <v>14822</v>
          </cell>
          <cell r="BD45">
            <v>14229</v>
          </cell>
          <cell r="BE45">
            <v>22320</v>
          </cell>
          <cell r="BF45">
            <v>21145</v>
          </cell>
          <cell r="BG45">
            <v>20080</v>
          </cell>
          <cell r="BH45">
            <v>19236</v>
          </cell>
          <cell r="BI45">
            <v>18442</v>
          </cell>
          <cell r="BJ45">
            <v>17635</v>
          </cell>
          <cell r="BK45">
            <v>16856</v>
          </cell>
          <cell r="BL45">
            <v>16135</v>
          </cell>
          <cell r="BM45">
            <v>15458</v>
          </cell>
          <cell r="BN45">
            <v>14822</v>
          </cell>
          <cell r="BO45">
            <v>14229</v>
          </cell>
        </row>
        <row r="46">
          <cell r="A46" t="str">
            <v>Croatia</v>
          </cell>
          <cell r="B46">
            <v>1501</v>
          </cell>
          <cell r="C46">
            <v>1597</v>
          </cell>
          <cell r="D46">
            <v>1694</v>
          </cell>
          <cell r="E46">
            <v>1790</v>
          </cell>
          <cell r="F46">
            <v>1887</v>
          </cell>
          <cell r="G46">
            <v>1984</v>
          </cell>
          <cell r="H46">
            <v>2078</v>
          </cell>
          <cell r="I46">
            <v>2169</v>
          </cell>
          <cell r="J46">
            <v>2257</v>
          </cell>
          <cell r="K46">
            <v>2342</v>
          </cell>
          <cell r="L46">
            <v>2424</v>
          </cell>
          <cell r="M46">
            <v>772</v>
          </cell>
          <cell r="N46">
            <v>842</v>
          </cell>
          <cell r="O46">
            <v>913</v>
          </cell>
          <cell r="P46">
            <v>985</v>
          </cell>
          <cell r="Q46">
            <v>1060</v>
          </cell>
          <cell r="R46">
            <v>1135</v>
          </cell>
          <cell r="S46">
            <v>1211</v>
          </cell>
          <cell r="T46">
            <v>1286</v>
          </cell>
          <cell r="U46">
            <v>1362</v>
          </cell>
          <cell r="V46">
            <v>1438</v>
          </cell>
          <cell r="W46">
            <v>1512</v>
          </cell>
          <cell r="X46">
            <v>12</v>
          </cell>
          <cell r="Y46">
            <v>13</v>
          </cell>
          <cell r="Z46">
            <v>13</v>
          </cell>
          <cell r="AA46">
            <v>14</v>
          </cell>
          <cell r="AB46">
            <v>15</v>
          </cell>
          <cell r="AC46">
            <v>16</v>
          </cell>
          <cell r="AD46">
            <v>16</v>
          </cell>
          <cell r="AE46">
            <v>17</v>
          </cell>
          <cell r="AF46">
            <v>18</v>
          </cell>
          <cell r="AG46">
            <v>18</v>
          </cell>
          <cell r="AH46">
            <v>19</v>
          </cell>
          <cell r="AI46">
            <v>2</v>
          </cell>
          <cell r="AJ46">
            <v>2</v>
          </cell>
          <cell r="AK46">
            <v>2</v>
          </cell>
          <cell r="AL46">
            <v>2</v>
          </cell>
          <cell r="AM46">
            <v>2</v>
          </cell>
          <cell r="AN46">
            <v>2</v>
          </cell>
          <cell r="AO46">
            <v>2</v>
          </cell>
          <cell r="AP46">
            <v>2</v>
          </cell>
          <cell r="AQ46">
            <v>2</v>
          </cell>
          <cell r="AR46">
            <v>2</v>
          </cell>
          <cell r="AS46">
            <v>2</v>
          </cell>
          <cell r="AT46">
            <v>6</v>
          </cell>
          <cell r="AU46">
            <v>6</v>
          </cell>
          <cell r="AV46">
            <v>6</v>
          </cell>
          <cell r="AW46">
            <v>6</v>
          </cell>
          <cell r="AX46">
            <v>7</v>
          </cell>
          <cell r="AY46">
            <v>7</v>
          </cell>
          <cell r="AZ46">
            <v>7</v>
          </cell>
          <cell r="BA46">
            <v>7</v>
          </cell>
          <cell r="BB46">
            <v>7</v>
          </cell>
          <cell r="BC46">
            <v>7</v>
          </cell>
          <cell r="BD46">
            <v>8</v>
          </cell>
          <cell r="BE46">
            <v>6</v>
          </cell>
          <cell r="BF46">
            <v>6</v>
          </cell>
          <cell r="BG46">
            <v>6</v>
          </cell>
          <cell r="BH46">
            <v>6</v>
          </cell>
          <cell r="BI46">
            <v>7</v>
          </cell>
          <cell r="BJ46">
            <v>7</v>
          </cell>
          <cell r="BK46">
            <v>7</v>
          </cell>
          <cell r="BL46">
            <v>7</v>
          </cell>
          <cell r="BM46">
            <v>7</v>
          </cell>
          <cell r="BN46">
            <v>7</v>
          </cell>
          <cell r="BO46">
            <v>7</v>
          </cell>
        </row>
        <row r="47">
          <cell r="A47" t="str">
            <v>Cuba</v>
          </cell>
          <cell r="B47">
            <v>21701</v>
          </cell>
          <cell r="C47">
            <v>22934</v>
          </cell>
          <cell r="D47">
            <v>24194</v>
          </cell>
          <cell r="E47">
            <v>25501</v>
          </cell>
          <cell r="F47">
            <v>26847</v>
          </cell>
          <cell r="G47">
            <v>28244</v>
          </cell>
          <cell r="H47">
            <v>29600</v>
          </cell>
          <cell r="I47">
            <v>30888</v>
          </cell>
          <cell r="J47">
            <v>32110</v>
          </cell>
          <cell r="K47">
            <v>33267</v>
          </cell>
          <cell r="L47">
            <v>34371</v>
          </cell>
          <cell r="M47">
            <v>9649</v>
          </cell>
          <cell r="N47">
            <v>10728</v>
          </cell>
          <cell r="O47">
            <v>11842</v>
          </cell>
          <cell r="P47">
            <v>13004</v>
          </cell>
          <cell r="Q47">
            <v>14224</v>
          </cell>
          <cell r="R47">
            <v>15537</v>
          </cell>
          <cell r="S47">
            <v>16633</v>
          </cell>
          <cell r="T47">
            <v>17720</v>
          </cell>
          <cell r="U47">
            <v>18794</v>
          </cell>
          <cell r="V47">
            <v>19848</v>
          </cell>
          <cell r="W47">
            <v>20880</v>
          </cell>
          <cell r="X47">
            <v>103</v>
          </cell>
          <cell r="Y47">
            <v>98</v>
          </cell>
          <cell r="Z47">
            <v>95</v>
          </cell>
          <cell r="AA47">
            <v>94</v>
          </cell>
          <cell r="AB47">
            <v>93</v>
          </cell>
          <cell r="AC47">
            <v>92</v>
          </cell>
          <cell r="AD47">
            <v>91</v>
          </cell>
          <cell r="AE47">
            <v>94</v>
          </cell>
          <cell r="AF47">
            <v>98</v>
          </cell>
          <cell r="AG47">
            <v>105</v>
          </cell>
          <cell r="AH47">
            <v>113</v>
          </cell>
          <cell r="AI47">
            <v>28</v>
          </cell>
          <cell r="AJ47">
            <v>32</v>
          </cell>
          <cell r="AK47">
            <v>37</v>
          </cell>
          <cell r="AL47">
            <v>43</v>
          </cell>
          <cell r="AM47">
            <v>49</v>
          </cell>
          <cell r="AN47">
            <v>56</v>
          </cell>
          <cell r="AO47">
            <v>63</v>
          </cell>
          <cell r="AP47">
            <v>71</v>
          </cell>
          <cell r="AQ47">
            <v>79</v>
          </cell>
          <cell r="AR47">
            <v>87</v>
          </cell>
          <cell r="AS47">
            <v>95</v>
          </cell>
          <cell r="AT47">
            <v>98</v>
          </cell>
          <cell r="AU47">
            <v>102</v>
          </cell>
          <cell r="AV47">
            <v>106</v>
          </cell>
          <cell r="AW47">
            <v>110</v>
          </cell>
          <cell r="AX47">
            <v>115</v>
          </cell>
          <cell r="AY47">
            <v>120</v>
          </cell>
          <cell r="AZ47">
            <v>126</v>
          </cell>
          <cell r="BA47">
            <v>130</v>
          </cell>
          <cell r="BB47">
            <v>133</v>
          </cell>
          <cell r="BC47">
            <v>136</v>
          </cell>
          <cell r="BD47">
            <v>137</v>
          </cell>
          <cell r="BE47">
            <v>98</v>
          </cell>
          <cell r="BF47">
            <v>102</v>
          </cell>
          <cell r="BG47">
            <v>106</v>
          </cell>
          <cell r="BH47">
            <v>110</v>
          </cell>
          <cell r="BI47">
            <v>115</v>
          </cell>
          <cell r="BJ47">
            <v>120</v>
          </cell>
          <cell r="BK47">
            <v>126</v>
          </cell>
          <cell r="BL47">
            <v>130</v>
          </cell>
          <cell r="BM47">
            <v>133</v>
          </cell>
          <cell r="BN47">
            <v>136</v>
          </cell>
          <cell r="BO47">
            <v>137</v>
          </cell>
        </row>
        <row r="48">
          <cell r="A48" t="str">
            <v>Curacao</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row>
        <row r="49">
          <cell r="A49" t="str">
            <v>Cyprus</v>
          </cell>
          <cell r="B49">
            <v>465</v>
          </cell>
          <cell r="C49">
            <v>486</v>
          </cell>
          <cell r="D49">
            <v>505</v>
          </cell>
          <cell r="E49">
            <v>522</v>
          </cell>
          <cell r="F49">
            <v>537</v>
          </cell>
          <cell r="G49">
            <v>551</v>
          </cell>
          <cell r="H49">
            <v>562</v>
          </cell>
          <cell r="I49">
            <v>571</v>
          </cell>
          <cell r="J49">
            <v>580</v>
          </cell>
          <cell r="K49">
            <v>587</v>
          </cell>
          <cell r="L49">
            <v>593</v>
          </cell>
          <cell r="M49">
            <v>1</v>
          </cell>
          <cell r="N49">
            <v>1</v>
          </cell>
          <cell r="O49">
            <v>2</v>
          </cell>
          <cell r="P49">
            <v>2</v>
          </cell>
          <cell r="Q49">
            <v>2</v>
          </cell>
          <cell r="R49">
            <v>2</v>
          </cell>
          <cell r="S49">
            <v>2</v>
          </cell>
          <cell r="T49">
            <v>2</v>
          </cell>
          <cell r="U49">
            <v>2</v>
          </cell>
          <cell r="V49">
            <v>2</v>
          </cell>
          <cell r="W49">
            <v>2</v>
          </cell>
          <cell r="X49">
            <v>10</v>
          </cell>
          <cell r="Y49">
            <v>11</v>
          </cell>
          <cell r="Z49">
            <v>11</v>
          </cell>
          <cell r="AA49">
            <v>12</v>
          </cell>
          <cell r="AB49">
            <v>12</v>
          </cell>
          <cell r="AC49">
            <v>13</v>
          </cell>
          <cell r="AD49">
            <v>13</v>
          </cell>
          <cell r="AE49">
            <v>14</v>
          </cell>
          <cell r="AF49">
            <v>14</v>
          </cell>
          <cell r="AG49">
            <v>15</v>
          </cell>
          <cell r="AH49">
            <v>15</v>
          </cell>
          <cell r="AI49">
            <v>0</v>
          </cell>
          <cell r="AJ49">
            <v>0</v>
          </cell>
          <cell r="AK49">
            <v>0</v>
          </cell>
          <cell r="AL49">
            <v>0</v>
          </cell>
          <cell r="AM49">
            <v>0</v>
          </cell>
          <cell r="AN49">
            <v>0</v>
          </cell>
          <cell r="AO49">
            <v>0</v>
          </cell>
          <cell r="AP49">
            <v>0</v>
          </cell>
          <cell r="AQ49">
            <v>0</v>
          </cell>
          <cell r="AR49">
            <v>0</v>
          </cell>
          <cell r="AS49">
            <v>0</v>
          </cell>
          <cell r="AT49">
            <v>4</v>
          </cell>
          <cell r="AU49">
            <v>4</v>
          </cell>
          <cell r="AV49">
            <v>4</v>
          </cell>
          <cell r="AW49">
            <v>5</v>
          </cell>
          <cell r="AX49">
            <v>5</v>
          </cell>
          <cell r="AY49">
            <v>5</v>
          </cell>
          <cell r="AZ49">
            <v>5</v>
          </cell>
          <cell r="BA49">
            <v>5</v>
          </cell>
          <cell r="BB49">
            <v>5</v>
          </cell>
          <cell r="BC49">
            <v>5</v>
          </cell>
          <cell r="BD49">
            <v>5</v>
          </cell>
          <cell r="BE49">
            <v>0</v>
          </cell>
          <cell r="BF49">
            <v>0</v>
          </cell>
          <cell r="BG49">
            <v>0</v>
          </cell>
          <cell r="BH49">
            <v>0</v>
          </cell>
          <cell r="BI49">
            <v>0</v>
          </cell>
          <cell r="BJ49">
            <v>0</v>
          </cell>
          <cell r="BK49">
            <v>0</v>
          </cell>
          <cell r="BL49">
            <v>0</v>
          </cell>
          <cell r="BM49">
            <v>0</v>
          </cell>
          <cell r="BN49">
            <v>0</v>
          </cell>
          <cell r="BO49">
            <v>0</v>
          </cell>
        </row>
        <row r="50">
          <cell r="A50" t="str">
            <v>Czech Republic</v>
          </cell>
          <cell r="B50">
            <v>5798</v>
          </cell>
          <cell r="C50">
            <v>6043</v>
          </cell>
          <cell r="D50">
            <v>6285</v>
          </cell>
          <cell r="E50">
            <v>6524</v>
          </cell>
          <cell r="F50">
            <v>6760</v>
          </cell>
          <cell r="G50">
            <v>6993</v>
          </cell>
          <cell r="H50">
            <v>7222</v>
          </cell>
          <cell r="I50">
            <v>7445</v>
          </cell>
          <cell r="J50">
            <v>7663</v>
          </cell>
          <cell r="K50">
            <v>7876</v>
          </cell>
          <cell r="L50">
            <v>8082</v>
          </cell>
          <cell r="M50">
            <v>3942</v>
          </cell>
          <cell r="N50">
            <v>4141</v>
          </cell>
          <cell r="O50">
            <v>4343</v>
          </cell>
          <cell r="P50">
            <v>4550</v>
          </cell>
          <cell r="Q50">
            <v>4761</v>
          </cell>
          <cell r="R50">
            <v>4967</v>
          </cell>
          <cell r="S50">
            <v>5177</v>
          </cell>
          <cell r="T50">
            <v>5385</v>
          </cell>
          <cell r="U50">
            <v>5593</v>
          </cell>
          <cell r="V50">
            <v>5797</v>
          </cell>
          <cell r="W50">
            <v>5999</v>
          </cell>
          <cell r="X50">
            <v>9</v>
          </cell>
          <cell r="Y50">
            <v>9</v>
          </cell>
          <cell r="Z50">
            <v>9</v>
          </cell>
          <cell r="AA50">
            <v>10</v>
          </cell>
          <cell r="AB50">
            <v>10</v>
          </cell>
          <cell r="AC50">
            <v>11</v>
          </cell>
          <cell r="AD50">
            <v>11</v>
          </cell>
          <cell r="AE50">
            <v>12</v>
          </cell>
          <cell r="AF50">
            <v>12</v>
          </cell>
          <cell r="AG50">
            <v>12</v>
          </cell>
          <cell r="AH50">
            <v>12</v>
          </cell>
          <cell r="AI50">
            <v>0</v>
          </cell>
          <cell r="AJ50">
            <v>0</v>
          </cell>
          <cell r="AK50">
            <v>0</v>
          </cell>
          <cell r="AL50">
            <v>0</v>
          </cell>
          <cell r="AM50">
            <v>0</v>
          </cell>
          <cell r="AN50">
            <v>0</v>
          </cell>
          <cell r="AO50">
            <v>0</v>
          </cell>
          <cell r="AP50">
            <v>0</v>
          </cell>
          <cell r="AQ50">
            <v>0</v>
          </cell>
          <cell r="AR50">
            <v>0</v>
          </cell>
          <cell r="AS50">
            <v>0</v>
          </cell>
          <cell r="AT50">
            <v>18</v>
          </cell>
          <cell r="AU50">
            <v>19</v>
          </cell>
          <cell r="AV50">
            <v>19</v>
          </cell>
          <cell r="AW50">
            <v>20</v>
          </cell>
          <cell r="AX50">
            <v>20</v>
          </cell>
          <cell r="AY50">
            <v>21</v>
          </cell>
          <cell r="AZ50">
            <v>21</v>
          </cell>
          <cell r="BA50">
            <v>21</v>
          </cell>
          <cell r="BB50">
            <v>21</v>
          </cell>
          <cell r="BC50">
            <v>21</v>
          </cell>
          <cell r="BD50">
            <v>21</v>
          </cell>
          <cell r="BE50">
            <v>17</v>
          </cell>
          <cell r="BF50">
            <v>18</v>
          </cell>
          <cell r="BG50">
            <v>19</v>
          </cell>
          <cell r="BH50">
            <v>19</v>
          </cell>
          <cell r="BI50">
            <v>20</v>
          </cell>
          <cell r="BJ50">
            <v>20</v>
          </cell>
          <cell r="BK50">
            <v>20</v>
          </cell>
          <cell r="BL50">
            <v>20</v>
          </cell>
          <cell r="BM50">
            <v>20</v>
          </cell>
          <cell r="BN50">
            <v>20</v>
          </cell>
          <cell r="BO50">
            <v>20</v>
          </cell>
        </row>
        <row r="51">
          <cell r="A51" t="str">
            <v>Dem. People's Republic of Korea</v>
          </cell>
          <cell r="B51">
            <v>1481</v>
          </cell>
          <cell r="C51">
            <v>1493</v>
          </cell>
          <cell r="D51">
            <v>1504</v>
          </cell>
          <cell r="E51">
            <v>1514</v>
          </cell>
          <cell r="F51">
            <v>1523</v>
          </cell>
          <cell r="G51">
            <v>1531</v>
          </cell>
          <cell r="H51">
            <v>1536</v>
          </cell>
          <cell r="I51">
            <v>1539</v>
          </cell>
          <cell r="J51">
            <v>1540</v>
          </cell>
          <cell r="K51">
            <v>1541</v>
          </cell>
          <cell r="L51">
            <v>1540</v>
          </cell>
          <cell r="M51">
            <v>0</v>
          </cell>
          <cell r="N51">
            <v>0</v>
          </cell>
          <cell r="O51">
            <v>0</v>
          </cell>
          <cell r="P51">
            <v>0</v>
          </cell>
          <cell r="Q51">
            <v>0</v>
          </cell>
          <cell r="R51">
            <v>0</v>
          </cell>
          <cell r="S51">
            <v>0</v>
          </cell>
          <cell r="T51">
            <v>0</v>
          </cell>
          <cell r="U51">
            <v>0</v>
          </cell>
          <cell r="V51">
            <v>0</v>
          </cell>
          <cell r="W51">
            <v>0</v>
          </cell>
          <cell r="X51">
            <v>54</v>
          </cell>
          <cell r="Y51">
            <v>54</v>
          </cell>
          <cell r="Z51">
            <v>54</v>
          </cell>
          <cell r="AA51">
            <v>55</v>
          </cell>
          <cell r="AB51">
            <v>55</v>
          </cell>
          <cell r="AC51">
            <v>55</v>
          </cell>
          <cell r="AD51">
            <v>56</v>
          </cell>
          <cell r="AE51">
            <v>56</v>
          </cell>
          <cell r="AF51">
            <v>56</v>
          </cell>
          <cell r="AG51">
            <v>57</v>
          </cell>
          <cell r="AH51">
            <v>57</v>
          </cell>
          <cell r="AI51">
            <v>0</v>
          </cell>
          <cell r="AJ51">
            <v>0</v>
          </cell>
          <cell r="AK51">
            <v>0</v>
          </cell>
          <cell r="AL51">
            <v>0</v>
          </cell>
          <cell r="AM51">
            <v>0</v>
          </cell>
          <cell r="AN51">
            <v>0</v>
          </cell>
          <cell r="AO51">
            <v>0</v>
          </cell>
          <cell r="AP51">
            <v>0</v>
          </cell>
          <cell r="AQ51">
            <v>0</v>
          </cell>
          <cell r="AR51">
            <v>0</v>
          </cell>
          <cell r="AS51">
            <v>0</v>
          </cell>
          <cell r="AT51">
            <v>18</v>
          </cell>
          <cell r="AU51">
            <v>18</v>
          </cell>
          <cell r="AV51">
            <v>18</v>
          </cell>
          <cell r="AW51">
            <v>18</v>
          </cell>
          <cell r="AX51">
            <v>18</v>
          </cell>
          <cell r="AY51">
            <v>18</v>
          </cell>
          <cell r="AZ51">
            <v>18</v>
          </cell>
          <cell r="BA51">
            <v>18</v>
          </cell>
          <cell r="BB51">
            <v>18</v>
          </cell>
          <cell r="BC51">
            <v>18</v>
          </cell>
          <cell r="BD51">
            <v>18</v>
          </cell>
          <cell r="BE51">
            <v>0</v>
          </cell>
          <cell r="BF51">
            <v>0</v>
          </cell>
          <cell r="BG51">
            <v>0</v>
          </cell>
          <cell r="BH51">
            <v>0</v>
          </cell>
          <cell r="BI51">
            <v>0</v>
          </cell>
          <cell r="BJ51">
            <v>0</v>
          </cell>
          <cell r="BK51">
            <v>0</v>
          </cell>
          <cell r="BL51">
            <v>0</v>
          </cell>
          <cell r="BM51">
            <v>0</v>
          </cell>
          <cell r="BN51">
            <v>0</v>
          </cell>
          <cell r="BO51">
            <v>0</v>
          </cell>
        </row>
        <row r="52">
          <cell r="A52" t="str">
            <v>Democratic Republic of the Congo</v>
          </cell>
          <cell r="B52">
            <v>394378</v>
          </cell>
          <cell r="C52">
            <v>392797</v>
          </cell>
          <cell r="D52">
            <v>391635</v>
          </cell>
          <cell r="E52">
            <v>391753</v>
          </cell>
          <cell r="F52">
            <v>393122</v>
          </cell>
          <cell r="G52">
            <v>395643</v>
          </cell>
          <cell r="H52">
            <v>398877</v>
          </cell>
          <cell r="I52">
            <v>401809</v>
          </cell>
          <cell r="J52">
            <v>404498</v>
          </cell>
          <cell r="K52">
            <v>406779</v>
          </cell>
          <cell r="L52">
            <v>408825</v>
          </cell>
          <cell r="M52">
            <v>71741</v>
          </cell>
          <cell r="N52">
            <v>88856</v>
          </cell>
          <cell r="O52">
            <v>108272</v>
          </cell>
          <cell r="P52">
            <v>130235</v>
          </cell>
          <cell r="Q52">
            <v>155149</v>
          </cell>
          <cell r="R52">
            <v>183379</v>
          </cell>
          <cell r="S52">
            <v>193180</v>
          </cell>
          <cell r="T52">
            <v>201418</v>
          </cell>
          <cell r="U52">
            <v>208306</v>
          </cell>
          <cell r="V52">
            <v>213799</v>
          </cell>
          <cell r="W52">
            <v>218280</v>
          </cell>
          <cell r="X52">
            <v>65688</v>
          </cell>
          <cell r="Y52">
            <v>66899</v>
          </cell>
          <cell r="Z52">
            <v>66122</v>
          </cell>
          <cell r="AA52">
            <v>64704</v>
          </cell>
          <cell r="AB52">
            <v>62834</v>
          </cell>
          <cell r="AC52">
            <v>60750</v>
          </cell>
          <cell r="AD52">
            <v>58798</v>
          </cell>
          <cell r="AE52">
            <v>56787</v>
          </cell>
          <cell r="AF52">
            <v>54705</v>
          </cell>
          <cell r="AG52">
            <v>52759</v>
          </cell>
          <cell r="AH52">
            <v>50786</v>
          </cell>
          <cell r="AI52">
            <v>19822</v>
          </cell>
          <cell r="AJ52">
            <v>20861</v>
          </cell>
          <cell r="AK52">
            <v>22449</v>
          </cell>
          <cell r="AL52">
            <v>23223</v>
          </cell>
          <cell r="AM52">
            <v>23607</v>
          </cell>
          <cell r="AN52">
            <v>23662</v>
          </cell>
          <cell r="AO52">
            <v>23568</v>
          </cell>
          <cell r="AP52">
            <v>23293</v>
          </cell>
          <cell r="AQ52">
            <v>22847</v>
          </cell>
          <cell r="AR52">
            <v>22398</v>
          </cell>
          <cell r="AS52">
            <v>21762</v>
          </cell>
          <cell r="AT52">
            <v>27307</v>
          </cell>
          <cell r="AU52">
            <v>26426</v>
          </cell>
          <cell r="AV52">
            <v>25740</v>
          </cell>
          <cell r="AW52">
            <v>25079</v>
          </cell>
          <cell r="AX52">
            <v>24471</v>
          </cell>
          <cell r="AY52">
            <v>23916</v>
          </cell>
          <cell r="AZ52">
            <v>23215</v>
          </cell>
          <cell r="BA52">
            <v>22342</v>
          </cell>
          <cell r="BB52">
            <v>21462</v>
          </cell>
          <cell r="BC52">
            <v>20584</v>
          </cell>
          <cell r="BD52">
            <v>19726</v>
          </cell>
          <cell r="BE52">
            <v>12365</v>
          </cell>
          <cell r="BF52">
            <v>18294</v>
          </cell>
          <cell r="BG52">
            <v>21508</v>
          </cell>
          <cell r="BH52">
            <v>20942</v>
          </cell>
          <cell r="BI52">
            <v>20300</v>
          </cell>
          <cell r="BJ52">
            <v>19588</v>
          </cell>
          <cell r="BK52">
            <v>19588</v>
          </cell>
          <cell r="BL52">
            <v>19588</v>
          </cell>
          <cell r="BM52">
            <v>19588</v>
          </cell>
          <cell r="BN52">
            <v>19588</v>
          </cell>
          <cell r="BO52">
            <v>19588</v>
          </cell>
        </row>
        <row r="53">
          <cell r="A53" t="str">
            <v>Denmark</v>
          </cell>
          <cell r="B53">
            <v>5815</v>
          </cell>
          <cell r="C53">
            <v>6020</v>
          </cell>
          <cell r="D53">
            <v>6222</v>
          </cell>
          <cell r="E53">
            <v>6420</v>
          </cell>
          <cell r="F53">
            <v>6615</v>
          </cell>
          <cell r="G53">
            <v>6805</v>
          </cell>
          <cell r="H53">
            <v>6992</v>
          </cell>
          <cell r="I53">
            <v>7175</v>
          </cell>
          <cell r="J53">
            <v>7354</v>
          </cell>
          <cell r="K53">
            <v>7528</v>
          </cell>
          <cell r="L53">
            <v>7699</v>
          </cell>
          <cell r="M53">
            <v>4042</v>
          </cell>
          <cell r="N53">
            <v>4248</v>
          </cell>
          <cell r="O53">
            <v>4449</v>
          </cell>
          <cell r="P53">
            <v>4648</v>
          </cell>
          <cell r="Q53">
            <v>4842</v>
          </cell>
          <cell r="R53">
            <v>5033</v>
          </cell>
          <cell r="S53">
            <v>5220</v>
          </cell>
          <cell r="T53">
            <v>5403</v>
          </cell>
          <cell r="U53">
            <v>5583</v>
          </cell>
          <cell r="V53">
            <v>5758</v>
          </cell>
          <cell r="W53">
            <v>5929</v>
          </cell>
          <cell r="X53">
            <v>18</v>
          </cell>
          <cell r="Y53">
            <v>21</v>
          </cell>
          <cell r="Z53">
            <v>24</v>
          </cell>
          <cell r="AA53">
            <v>27</v>
          </cell>
          <cell r="AB53">
            <v>30</v>
          </cell>
          <cell r="AC53">
            <v>33</v>
          </cell>
          <cell r="AD53">
            <v>36</v>
          </cell>
          <cell r="AE53">
            <v>39</v>
          </cell>
          <cell r="AF53">
            <v>43</v>
          </cell>
          <cell r="AG53">
            <v>48</v>
          </cell>
          <cell r="AH53">
            <v>52</v>
          </cell>
          <cell r="AI53">
            <v>7</v>
          </cell>
          <cell r="AJ53">
            <v>10</v>
          </cell>
          <cell r="AK53">
            <v>13</v>
          </cell>
          <cell r="AL53">
            <v>15</v>
          </cell>
          <cell r="AM53">
            <v>18</v>
          </cell>
          <cell r="AN53">
            <v>21</v>
          </cell>
          <cell r="AO53">
            <v>24</v>
          </cell>
          <cell r="AP53">
            <v>27</v>
          </cell>
          <cell r="AQ53">
            <v>30</v>
          </cell>
          <cell r="AR53">
            <v>34</v>
          </cell>
          <cell r="AS53">
            <v>37</v>
          </cell>
          <cell r="AT53">
            <v>42</v>
          </cell>
          <cell r="AU53">
            <v>42</v>
          </cell>
          <cell r="AV53">
            <v>43</v>
          </cell>
          <cell r="AW53">
            <v>43</v>
          </cell>
          <cell r="AX53">
            <v>44</v>
          </cell>
          <cell r="AY53">
            <v>44</v>
          </cell>
          <cell r="AZ53">
            <v>45</v>
          </cell>
          <cell r="BA53">
            <v>46</v>
          </cell>
          <cell r="BB53">
            <v>46</v>
          </cell>
          <cell r="BC53">
            <v>47</v>
          </cell>
          <cell r="BD53">
            <v>47</v>
          </cell>
          <cell r="BE53">
            <v>42</v>
          </cell>
          <cell r="BF53">
            <v>42</v>
          </cell>
          <cell r="BG53">
            <v>43</v>
          </cell>
          <cell r="BH53">
            <v>43</v>
          </cell>
          <cell r="BI53">
            <v>43</v>
          </cell>
          <cell r="BJ53">
            <v>44</v>
          </cell>
          <cell r="BK53">
            <v>44</v>
          </cell>
          <cell r="BL53">
            <v>44</v>
          </cell>
          <cell r="BM53">
            <v>44</v>
          </cell>
          <cell r="BN53">
            <v>44</v>
          </cell>
          <cell r="BO53">
            <v>44</v>
          </cell>
        </row>
        <row r="54">
          <cell r="A54" t="str">
            <v>Djibouti</v>
          </cell>
          <cell r="B54">
            <v>5612</v>
          </cell>
          <cell r="C54">
            <v>5166</v>
          </cell>
          <cell r="D54">
            <v>4780</v>
          </cell>
          <cell r="E54">
            <v>4449</v>
          </cell>
          <cell r="F54">
            <v>4167</v>
          </cell>
          <cell r="G54">
            <v>3930</v>
          </cell>
          <cell r="H54">
            <v>3714</v>
          </cell>
          <cell r="I54">
            <v>3511</v>
          </cell>
          <cell r="J54">
            <v>3322</v>
          </cell>
          <cell r="K54">
            <v>3149</v>
          </cell>
          <cell r="L54">
            <v>2988</v>
          </cell>
          <cell r="M54">
            <v>1487</v>
          </cell>
          <cell r="N54">
            <v>1530</v>
          </cell>
          <cell r="O54">
            <v>1574</v>
          </cell>
          <cell r="P54">
            <v>1624</v>
          </cell>
          <cell r="Q54">
            <v>1674</v>
          </cell>
          <cell r="R54">
            <v>1731</v>
          </cell>
          <cell r="S54">
            <v>1673</v>
          </cell>
          <cell r="T54">
            <v>1612</v>
          </cell>
          <cell r="U54">
            <v>1550</v>
          </cell>
          <cell r="V54">
            <v>1490</v>
          </cell>
          <cell r="W54">
            <v>1433</v>
          </cell>
          <cell r="X54">
            <v>1090</v>
          </cell>
          <cell r="Y54">
            <v>983</v>
          </cell>
          <cell r="Z54">
            <v>869</v>
          </cell>
          <cell r="AA54">
            <v>755</v>
          </cell>
          <cell r="AB54">
            <v>649</v>
          </cell>
          <cell r="AC54">
            <v>550</v>
          </cell>
          <cell r="AD54">
            <v>458</v>
          </cell>
          <cell r="AE54">
            <v>375</v>
          </cell>
          <cell r="AF54">
            <v>300</v>
          </cell>
          <cell r="AG54">
            <v>234</v>
          </cell>
          <cell r="AH54">
            <v>178</v>
          </cell>
          <cell r="AI54">
            <v>46</v>
          </cell>
          <cell r="AJ54">
            <v>49</v>
          </cell>
          <cell r="AK54">
            <v>49</v>
          </cell>
          <cell r="AL54">
            <v>47</v>
          </cell>
          <cell r="AM54">
            <v>45</v>
          </cell>
          <cell r="AN54">
            <v>38</v>
          </cell>
          <cell r="AO54">
            <v>29</v>
          </cell>
          <cell r="AP54">
            <v>22</v>
          </cell>
          <cell r="AQ54">
            <v>18</v>
          </cell>
          <cell r="AR54">
            <v>14</v>
          </cell>
          <cell r="AS54">
            <v>10</v>
          </cell>
          <cell r="AT54">
            <v>197</v>
          </cell>
          <cell r="AU54">
            <v>164</v>
          </cell>
          <cell r="AV54">
            <v>137</v>
          </cell>
          <cell r="AW54">
            <v>114</v>
          </cell>
          <cell r="AX54">
            <v>97</v>
          </cell>
          <cell r="AY54">
            <v>82</v>
          </cell>
          <cell r="AZ54">
            <v>71</v>
          </cell>
          <cell r="BA54">
            <v>62</v>
          </cell>
          <cell r="BB54">
            <v>56</v>
          </cell>
          <cell r="BC54">
            <v>50</v>
          </cell>
          <cell r="BD54">
            <v>46</v>
          </cell>
          <cell r="BE54">
            <v>96</v>
          </cell>
          <cell r="BF54">
            <v>107</v>
          </cell>
          <cell r="BG54">
            <v>117</v>
          </cell>
          <cell r="BH54">
            <v>114</v>
          </cell>
          <cell r="BI54">
            <v>97</v>
          </cell>
          <cell r="BJ54">
            <v>82</v>
          </cell>
          <cell r="BK54">
            <v>71</v>
          </cell>
          <cell r="BL54">
            <v>62</v>
          </cell>
          <cell r="BM54">
            <v>56</v>
          </cell>
          <cell r="BN54">
            <v>50</v>
          </cell>
          <cell r="BO54">
            <v>46</v>
          </cell>
        </row>
        <row r="55">
          <cell r="A55" t="str">
            <v>Dominica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row>
        <row r="56">
          <cell r="A56" t="str">
            <v>Dominican Republic</v>
          </cell>
          <cell r="B56">
            <v>44947</v>
          </cell>
          <cell r="C56">
            <v>44181</v>
          </cell>
          <cell r="D56">
            <v>43592</v>
          </cell>
          <cell r="E56">
            <v>43180</v>
          </cell>
          <cell r="F56">
            <v>42914</v>
          </cell>
          <cell r="G56">
            <v>42695</v>
          </cell>
          <cell r="H56">
            <v>42493</v>
          </cell>
          <cell r="I56">
            <v>42275</v>
          </cell>
          <cell r="J56">
            <v>42024</v>
          </cell>
          <cell r="K56">
            <v>41745</v>
          </cell>
          <cell r="L56">
            <v>41439</v>
          </cell>
          <cell r="M56">
            <v>24942</v>
          </cell>
          <cell r="N56">
            <v>26492</v>
          </cell>
          <cell r="O56">
            <v>28111</v>
          </cell>
          <cell r="P56">
            <v>29817</v>
          </cell>
          <cell r="Q56">
            <v>31616</v>
          </cell>
          <cell r="R56">
            <v>32627</v>
          </cell>
          <cell r="S56">
            <v>33130</v>
          </cell>
          <cell r="T56">
            <v>33500</v>
          </cell>
          <cell r="U56">
            <v>33740</v>
          </cell>
          <cell r="V56">
            <v>33866</v>
          </cell>
          <cell r="W56">
            <v>33892</v>
          </cell>
          <cell r="X56">
            <v>1805</v>
          </cell>
          <cell r="Y56">
            <v>1621</v>
          </cell>
          <cell r="Z56">
            <v>1435</v>
          </cell>
          <cell r="AA56">
            <v>1248</v>
          </cell>
          <cell r="AB56">
            <v>1062</v>
          </cell>
          <cell r="AC56">
            <v>899</v>
          </cell>
          <cell r="AD56">
            <v>738</v>
          </cell>
          <cell r="AE56">
            <v>592</v>
          </cell>
          <cell r="AF56">
            <v>475</v>
          </cell>
          <cell r="AG56">
            <v>383</v>
          </cell>
          <cell r="AH56">
            <v>316</v>
          </cell>
          <cell r="AI56">
            <v>638</v>
          </cell>
          <cell r="AJ56">
            <v>733</v>
          </cell>
          <cell r="AK56">
            <v>825</v>
          </cell>
          <cell r="AL56">
            <v>823</v>
          </cell>
          <cell r="AM56">
            <v>720</v>
          </cell>
          <cell r="AN56">
            <v>626</v>
          </cell>
          <cell r="AO56">
            <v>520</v>
          </cell>
          <cell r="AP56">
            <v>420</v>
          </cell>
          <cell r="AQ56">
            <v>336</v>
          </cell>
          <cell r="AR56">
            <v>273</v>
          </cell>
          <cell r="AS56">
            <v>233</v>
          </cell>
          <cell r="AT56">
            <v>667</v>
          </cell>
          <cell r="AU56">
            <v>613</v>
          </cell>
          <cell r="AV56">
            <v>564</v>
          </cell>
          <cell r="AW56">
            <v>521</v>
          </cell>
          <cell r="AX56">
            <v>483</v>
          </cell>
          <cell r="AY56">
            <v>450</v>
          </cell>
          <cell r="AZ56">
            <v>420</v>
          </cell>
          <cell r="BA56">
            <v>393</v>
          </cell>
          <cell r="BB56">
            <v>369</v>
          </cell>
          <cell r="BC56">
            <v>347</v>
          </cell>
          <cell r="BD56">
            <v>328</v>
          </cell>
          <cell r="BE56">
            <v>629</v>
          </cell>
          <cell r="BF56">
            <v>570</v>
          </cell>
          <cell r="BG56">
            <v>546</v>
          </cell>
          <cell r="BH56">
            <v>497</v>
          </cell>
          <cell r="BI56">
            <v>454</v>
          </cell>
          <cell r="BJ56">
            <v>417</v>
          </cell>
          <cell r="BK56">
            <v>417</v>
          </cell>
          <cell r="BL56">
            <v>393</v>
          </cell>
          <cell r="BM56">
            <v>369</v>
          </cell>
          <cell r="BN56">
            <v>347</v>
          </cell>
          <cell r="BO56">
            <v>328</v>
          </cell>
        </row>
        <row r="57">
          <cell r="A57" t="str">
            <v>Ecuador</v>
          </cell>
          <cell r="B57">
            <v>41121</v>
          </cell>
          <cell r="C57">
            <v>41689</v>
          </cell>
          <cell r="D57">
            <v>42334</v>
          </cell>
          <cell r="E57">
            <v>43044</v>
          </cell>
          <cell r="F57">
            <v>43830</v>
          </cell>
          <cell r="G57">
            <v>44665</v>
          </cell>
          <cell r="H57">
            <v>45554</v>
          </cell>
          <cell r="I57">
            <v>46401</v>
          </cell>
          <cell r="J57">
            <v>47185</v>
          </cell>
          <cell r="K57">
            <v>47927</v>
          </cell>
          <cell r="L57">
            <v>48644</v>
          </cell>
          <cell r="M57">
            <v>12398</v>
          </cell>
          <cell r="N57">
            <v>14140</v>
          </cell>
          <cell r="O57">
            <v>16068</v>
          </cell>
          <cell r="P57">
            <v>18201</v>
          </cell>
          <cell r="Q57">
            <v>20561</v>
          </cell>
          <cell r="R57">
            <v>23165</v>
          </cell>
          <cell r="S57">
            <v>24417</v>
          </cell>
          <cell r="T57">
            <v>25547</v>
          </cell>
          <cell r="U57">
            <v>26544</v>
          </cell>
          <cell r="V57">
            <v>27426</v>
          </cell>
          <cell r="W57">
            <v>28230</v>
          </cell>
          <cell r="X57">
            <v>1240</v>
          </cell>
          <cell r="Y57">
            <v>1340</v>
          </cell>
          <cell r="Z57">
            <v>1433</v>
          </cell>
          <cell r="AA57">
            <v>1514</v>
          </cell>
          <cell r="AB57">
            <v>1575</v>
          </cell>
          <cell r="AC57">
            <v>1618</v>
          </cell>
          <cell r="AD57">
            <v>1644</v>
          </cell>
          <cell r="AE57">
            <v>1670</v>
          </cell>
          <cell r="AF57">
            <v>1712</v>
          </cell>
          <cell r="AG57">
            <v>1753</v>
          </cell>
          <cell r="AH57">
            <v>1778</v>
          </cell>
          <cell r="AI57">
            <v>842</v>
          </cell>
          <cell r="AJ57">
            <v>979</v>
          </cell>
          <cell r="AK57">
            <v>1110</v>
          </cell>
          <cell r="AL57">
            <v>1224</v>
          </cell>
          <cell r="AM57">
            <v>1318</v>
          </cell>
          <cell r="AN57">
            <v>1391</v>
          </cell>
          <cell r="AO57">
            <v>1453</v>
          </cell>
          <cell r="AP57">
            <v>1496</v>
          </cell>
          <cell r="AQ57">
            <v>1552</v>
          </cell>
          <cell r="AR57">
            <v>1620</v>
          </cell>
          <cell r="AS57">
            <v>1663</v>
          </cell>
          <cell r="AT57">
            <v>543</v>
          </cell>
          <cell r="AU57">
            <v>532</v>
          </cell>
          <cell r="AV57">
            <v>523</v>
          </cell>
          <cell r="AW57">
            <v>515</v>
          </cell>
          <cell r="AX57">
            <v>507</v>
          </cell>
          <cell r="AY57">
            <v>500</v>
          </cell>
          <cell r="AZ57">
            <v>491</v>
          </cell>
          <cell r="BA57">
            <v>479</v>
          </cell>
          <cell r="BB57">
            <v>467</v>
          </cell>
          <cell r="BC57">
            <v>455</v>
          </cell>
          <cell r="BD57">
            <v>444</v>
          </cell>
          <cell r="BE57">
            <v>455</v>
          </cell>
          <cell r="BF57">
            <v>472</v>
          </cell>
          <cell r="BG57">
            <v>475</v>
          </cell>
          <cell r="BH57">
            <v>463</v>
          </cell>
          <cell r="BI57">
            <v>459</v>
          </cell>
          <cell r="BJ57">
            <v>445</v>
          </cell>
          <cell r="BK57">
            <v>445</v>
          </cell>
          <cell r="BL57">
            <v>445</v>
          </cell>
          <cell r="BM57">
            <v>445</v>
          </cell>
          <cell r="BN57">
            <v>445</v>
          </cell>
          <cell r="BO57">
            <v>444</v>
          </cell>
        </row>
        <row r="58">
          <cell r="A58" t="str">
            <v>Egypt</v>
          </cell>
          <cell r="B58">
            <v>11184</v>
          </cell>
          <cell r="C58">
            <v>12154</v>
          </cell>
          <cell r="D58">
            <v>13410</v>
          </cell>
          <cell r="E58">
            <v>14834</v>
          </cell>
          <cell r="F58">
            <v>16189</v>
          </cell>
          <cell r="G58">
            <v>17537</v>
          </cell>
          <cell r="H58">
            <v>18769</v>
          </cell>
          <cell r="I58">
            <v>19897</v>
          </cell>
          <cell r="J58">
            <v>20931</v>
          </cell>
          <cell r="K58">
            <v>21880</v>
          </cell>
          <cell r="L58">
            <v>22780</v>
          </cell>
          <cell r="M58">
            <v>1946</v>
          </cell>
          <cell r="N58">
            <v>3420</v>
          </cell>
          <cell r="O58">
            <v>1478</v>
          </cell>
          <cell r="P58">
            <v>1683</v>
          </cell>
          <cell r="Q58">
            <v>1862</v>
          </cell>
          <cell r="R58">
            <v>2023</v>
          </cell>
          <cell r="S58">
            <v>2155</v>
          </cell>
          <cell r="T58">
            <v>2281</v>
          </cell>
          <cell r="U58">
            <v>2400</v>
          </cell>
          <cell r="V58">
            <v>2511</v>
          </cell>
          <cell r="W58">
            <v>2623</v>
          </cell>
          <cell r="X58">
            <v>248</v>
          </cell>
          <cell r="Y58">
            <v>243</v>
          </cell>
          <cell r="Z58">
            <v>263</v>
          </cell>
          <cell r="AA58">
            <v>276</v>
          </cell>
          <cell r="AB58">
            <v>286</v>
          </cell>
          <cell r="AC58">
            <v>294</v>
          </cell>
          <cell r="AD58">
            <v>304</v>
          </cell>
          <cell r="AE58">
            <v>312</v>
          </cell>
          <cell r="AF58">
            <v>318</v>
          </cell>
          <cell r="AG58">
            <v>322</v>
          </cell>
          <cell r="AH58">
            <v>326</v>
          </cell>
          <cell r="AI58">
            <v>34</v>
          </cell>
          <cell r="AJ58">
            <v>31</v>
          </cell>
          <cell r="AK58">
            <v>34</v>
          </cell>
          <cell r="AL58">
            <v>36</v>
          </cell>
          <cell r="AM58">
            <v>37</v>
          </cell>
          <cell r="AN58">
            <v>39</v>
          </cell>
          <cell r="AO58">
            <v>41</v>
          </cell>
          <cell r="AP58">
            <v>42</v>
          </cell>
          <cell r="AQ58">
            <v>42</v>
          </cell>
          <cell r="AR58">
            <v>42</v>
          </cell>
          <cell r="AS58">
            <v>41</v>
          </cell>
          <cell r="AT58">
            <v>149</v>
          </cell>
          <cell r="AU58">
            <v>156</v>
          </cell>
          <cell r="AV58">
            <v>160</v>
          </cell>
          <cell r="AW58">
            <v>162</v>
          </cell>
          <cell r="AX58">
            <v>163</v>
          </cell>
          <cell r="AY58">
            <v>163</v>
          </cell>
          <cell r="AZ58">
            <v>162</v>
          </cell>
          <cell r="BA58">
            <v>161</v>
          </cell>
          <cell r="BB58">
            <v>160</v>
          </cell>
          <cell r="BC58">
            <v>159</v>
          </cell>
          <cell r="BD58">
            <v>158</v>
          </cell>
          <cell r="BE58">
            <v>55</v>
          </cell>
          <cell r="BF58">
            <v>100</v>
          </cell>
          <cell r="BG58">
            <v>16</v>
          </cell>
          <cell r="BH58">
            <v>17</v>
          </cell>
          <cell r="BI58">
            <v>19</v>
          </cell>
          <cell r="BJ58">
            <v>20</v>
          </cell>
          <cell r="BK58">
            <v>20</v>
          </cell>
          <cell r="BL58">
            <v>20</v>
          </cell>
          <cell r="BM58">
            <v>20</v>
          </cell>
          <cell r="BN58">
            <v>20</v>
          </cell>
          <cell r="BO58">
            <v>20</v>
          </cell>
        </row>
        <row r="59">
          <cell r="A59" t="str">
            <v>El Salvador</v>
          </cell>
          <cell r="B59">
            <v>23509</v>
          </cell>
          <cell r="C59">
            <v>23611</v>
          </cell>
          <cell r="D59">
            <v>23679</v>
          </cell>
          <cell r="E59">
            <v>23727</v>
          </cell>
          <cell r="F59">
            <v>23758</v>
          </cell>
          <cell r="G59">
            <v>23772</v>
          </cell>
          <cell r="H59">
            <v>23790</v>
          </cell>
          <cell r="I59">
            <v>23808</v>
          </cell>
          <cell r="J59">
            <v>23824</v>
          </cell>
          <cell r="K59">
            <v>23849</v>
          </cell>
          <cell r="L59">
            <v>23887</v>
          </cell>
          <cell r="M59">
            <v>13511</v>
          </cell>
          <cell r="N59">
            <v>14287</v>
          </cell>
          <cell r="O59">
            <v>14970</v>
          </cell>
          <cell r="P59">
            <v>15573</v>
          </cell>
          <cell r="Q59">
            <v>16092</v>
          </cell>
          <cell r="R59">
            <v>16535</v>
          </cell>
          <cell r="S59">
            <v>16913</v>
          </cell>
          <cell r="T59">
            <v>17234</v>
          </cell>
          <cell r="U59">
            <v>17503</v>
          </cell>
          <cell r="V59">
            <v>17733</v>
          </cell>
          <cell r="W59">
            <v>17942</v>
          </cell>
          <cell r="X59">
            <v>890</v>
          </cell>
          <cell r="Y59">
            <v>936</v>
          </cell>
          <cell r="Z59">
            <v>965</v>
          </cell>
          <cell r="AA59">
            <v>990</v>
          </cell>
          <cell r="AB59">
            <v>1007</v>
          </cell>
          <cell r="AC59">
            <v>1023</v>
          </cell>
          <cell r="AD59">
            <v>1036</v>
          </cell>
          <cell r="AE59">
            <v>1050</v>
          </cell>
          <cell r="AF59">
            <v>1065</v>
          </cell>
          <cell r="AG59">
            <v>1076</v>
          </cell>
          <cell r="AH59">
            <v>1079</v>
          </cell>
          <cell r="AI59">
            <v>483</v>
          </cell>
          <cell r="AJ59">
            <v>551</v>
          </cell>
          <cell r="AK59">
            <v>618</v>
          </cell>
          <cell r="AL59">
            <v>671</v>
          </cell>
          <cell r="AM59">
            <v>722</v>
          </cell>
          <cell r="AN59">
            <v>755</v>
          </cell>
          <cell r="AO59">
            <v>801</v>
          </cell>
          <cell r="AP59">
            <v>845</v>
          </cell>
          <cell r="AQ59">
            <v>889</v>
          </cell>
          <cell r="AR59">
            <v>932</v>
          </cell>
          <cell r="AS59">
            <v>958</v>
          </cell>
          <cell r="AT59">
            <v>413</v>
          </cell>
          <cell r="AU59">
            <v>404</v>
          </cell>
          <cell r="AV59">
            <v>388</v>
          </cell>
          <cell r="AW59">
            <v>372</v>
          </cell>
          <cell r="AX59">
            <v>355</v>
          </cell>
          <cell r="AY59">
            <v>338</v>
          </cell>
          <cell r="AZ59">
            <v>322</v>
          </cell>
          <cell r="BA59">
            <v>306</v>
          </cell>
          <cell r="BB59">
            <v>291</v>
          </cell>
          <cell r="BC59">
            <v>277</v>
          </cell>
          <cell r="BD59">
            <v>264</v>
          </cell>
          <cell r="BE59">
            <v>412</v>
          </cell>
          <cell r="BF59">
            <v>404</v>
          </cell>
          <cell r="BG59">
            <v>388</v>
          </cell>
          <cell r="BH59">
            <v>372</v>
          </cell>
          <cell r="BI59">
            <v>355</v>
          </cell>
          <cell r="BJ59">
            <v>338</v>
          </cell>
          <cell r="BK59">
            <v>322</v>
          </cell>
          <cell r="BL59">
            <v>306</v>
          </cell>
          <cell r="BM59">
            <v>291</v>
          </cell>
          <cell r="BN59">
            <v>277</v>
          </cell>
          <cell r="BO59">
            <v>264</v>
          </cell>
        </row>
        <row r="60">
          <cell r="A60" t="str">
            <v>Equatorial Guinea</v>
          </cell>
          <cell r="B60">
            <v>26712</v>
          </cell>
          <cell r="C60">
            <v>27606</v>
          </cell>
          <cell r="D60">
            <v>28458</v>
          </cell>
          <cell r="E60">
            <v>29284</v>
          </cell>
          <cell r="F60">
            <v>30093</v>
          </cell>
          <cell r="G60">
            <v>30898</v>
          </cell>
          <cell r="H60">
            <v>31727</v>
          </cell>
          <cell r="I60">
            <v>32568</v>
          </cell>
          <cell r="J60">
            <v>33412</v>
          </cell>
          <cell r="K60">
            <v>34284</v>
          </cell>
          <cell r="L60">
            <v>35159</v>
          </cell>
          <cell r="M60">
            <v>10708</v>
          </cell>
          <cell r="N60">
            <v>12008</v>
          </cell>
          <cell r="O60">
            <v>13311</v>
          </cell>
          <cell r="P60">
            <v>14615</v>
          </cell>
          <cell r="Q60">
            <v>15922</v>
          </cell>
          <cell r="R60">
            <v>17233</v>
          </cell>
          <cell r="S60">
            <v>18165</v>
          </cell>
          <cell r="T60">
            <v>19042</v>
          </cell>
          <cell r="U60">
            <v>19870</v>
          </cell>
          <cell r="V60">
            <v>20667</v>
          </cell>
          <cell r="W60">
            <v>21428</v>
          </cell>
          <cell r="X60">
            <v>2937</v>
          </cell>
          <cell r="Y60">
            <v>3083</v>
          </cell>
          <cell r="Z60">
            <v>3195</v>
          </cell>
          <cell r="AA60">
            <v>3300</v>
          </cell>
          <cell r="AB60">
            <v>3389</v>
          </cell>
          <cell r="AC60">
            <v>3234</v>
          </cell>
          <cell r="AD60">
            <v>3093</v>
          </cell>
          <cell r="AE60">
            <v>2918</v>
          </cell>
          <cell r="AF60">
            <v>2743</v>
          </cell>
          <cell r="AG60">
            <v>2538</v>
          </cell>
          <cell r="AH60">
            <v>2339</v>
          </cell>
          <cell r="AI60">
            <v>395</v>
          </cell>
          <cell r="AJ60">
            <v>494</v>
          </cell>
          <cell r="AK60">
            <v>595</v>
          </cell>
          <cell r="AL60">
            <v>717</v>
          </cell>
          <cell r="AM60">
            <v>865</v>
          </cell>
          <cell r="AN60">
            <v>882</v>
          </cell>
          <cell r="AO60">
            <v>808</v>
          </cell>
          <cell r="AP60">
            <v>719</v>
          </cell>
          <cell r="AQ60">
            <v>648</v>
          </cell>
          <cell r="AR60">
            <v>583</v>
          </cell>
          <cell r="AS60">
            <v>549</v>
          </cell>
          <cell r="AT60">
            <v>1426</v>
          </cell>
          <cell r="AU60">
            <v>1418</v>
          </cell>
          <cell r="AV60">
            <v>1402</v>
          </cell>
          <cell r="AW60">
            <v>1380</v>
          </cell>
          <cell r="AX60">
            <v>1353</v>
          </cell>
          <cell r="AY60">
            <v>1322</v>
          </cell>
          <cell r="AZ60">
            <v>1287</v>
          </cell>
          <cell r="BA60">
            <v>1250</v>
          </cell>
          <cell r="BB60">
            <v>1214</v>
          </cell>
          <cell r="BC60">
            <v>1180</v>
          </cell>
          <cell r="BD60">
            <v>1147</v>
          </cell>
          <cell r="BE60">
            <v>747</v>
          </cell>
          <cell r="BF60">
            <v>815</v>
          </cell>
          <cell r="BG60">
            <v>882</v>
          </cell>
          <cell r="BH60">
            <v>952</v>
          </cell>
          <cell r="BI60">
            <v>1019</v>
          </cell>
          <cell r="BJ60">
            <v>1233</v>
          </cell>
          <cell r="BK60">
            <v>1233</v>
          </cell>
          <cell r="BL60">
            <v>1233</v>
          </cell>
          <cell r="BM60">
            <v>1214</v>
          </cell>
          <cell r="BN60">
            <v>1180</v>
          </cell>
          <cell r="BO60">
            <v>1147</v>
          </cell>
        </row>
        <row r="61">
          <cell r="A61" t="str">
            <v>Eritrea</v>
          </cell>
          <cell r="B61">
            <v>22078</v>
          </cell>
          <cell r="C61">
            <v>21938</v>
          </cell>
          <cell r="D61">
            <v>21842</v>
          </cell>
          <cell r="E61">
            <v>21794</v>
          </cell>
          <cell r="F61">
            <v>21801</v>
          </cell>
          <cell r="G61">
            <v>21836</v>
          </cell>
          <cell r="H61">
            <v>21851</v>
          </cell>
          <cell r="I61">
            <v>21817</v>
          </cell>
          <cell r="J61">
            <v>21747</v>
          </cell>
          <cell r="K61">
            <v>21638</v>
          </cell>
          <cell r="L61">
            <v>21502</v>
          </cell>
          <cell r="M61">
            <v>11923</v>
          </cell>
          <cell r="N61">
            <v>12792</v>
          </cell>
          <cell r="O61">
            <v>13669</v>
          </cell>
          <cell r="P61">
            <v>14554</v>
          </cell>
          <cell r="Q61">
            <v>15467</v>
          </cell>
          <cell r="R61">
            <v>16392</v>
          </cell>
          <cell r="S61">
            <v>16804</v>
          </cell>
          <cell r="T61">
            <v>17106</v>
          </cell>
          <cell r="U61">
            <v>17328</v>
          </cell>
          <cell r="V61">
            <v>17472</v>
          </cell>
          <cell r="W61">
            <v>17552</v>
          </cell>
          <cell r="X61">
            <v>4256</v>
          </cell>
          <cell r="Y61">
            <v>3851</v>
          </cell>
          <cell r="Z61">
            <v>3484</v>
          </cell>
          <cell r="AA61">
            <v>3129</v>
          </cell>
          <cell r="AB61">
            <v>2808</v>
          </cell>
          <cell r="AC61">
            <v>2564</v>
          </cell>
          <cell r="AD61">
            <v>2402</v>
          </cell>
          <cell r="AE61">
            <v>2298</v>
          </cell>
          <cell r="AF61">
            <v>2221</v>
          </cell>
          <cell r="AG61">
            <v>2176</v>
          </cell>
          <cell r="AH61">
            <v>2153</v>
          </cell>
          <cell r="AI61">
            <v>963</v>
          </cell>
          <cell r="AJ61">
            <v>998</v>
          </cell>
          <cell r="AK61">
            <v>1025</v>
          </cell>
          <cell r="AL61">
            <v>1061</v>
          </cell>
          <cell r="AM61">
            <v>1105</v>
          </cell>
          <cell r="AN61">
            <v>1117</v>
          </cell>
          <cell r="AO61">
            <v>1158</v>
          </cell>
          <cell r="AP61">
            <v>1263</v>
          </cell>
          <cell r="AQ61">
            <v>1386</v>
          </cell>
          <cell r="AR61">
            <v>1522</v>
          </cell>
          <cell r="AS61">
            <v>1667</v>
          </cell>
          <cell r="AT61">
            <v>1045</v>
          </cell>
          <cell r="AU61">
            <v>966</v>
          </cell>
          <cell r="AV61">
            <v>895</v>
          </cell>
          <cell r="AW61">
            <v>834</v>
          </cell>
          <cell r="AX61">
            <v>783</v>
          </cell>
          <cell r="AY61">
            <v>740</v>
          </cell>
          <cell r="AZ61">
            <v>701</v>
          </cell>
          <cell r="BA61">
            <v>664</v>
          </cell>
          <cell r="BB61">
            <v>633</v>
          </cell>
          <cell r="BC61">
            <v>606</v>
          </cell>
          <cell r="BD61">
            <v>583</v>
          </cell>
          <cell r="BE61">
            <v>514</v>
          </cell>
          <cell r="BF61">
            <v>465</v>
          </cell>
          <cell r="BG61">
            <v>422</v>
          </cell>
          <cell r="BH61">
            <v>385</v>
          </cell>
          <cell r="BI61">
            <v>354</v>
          </cell>
          <cell r="BJ61">
            <v>330</v>
          </cell>
          <cell r="BK61">
            <v>330</v>
          </cell>
          <cell r="BL61">
            <v>330</v>
          </cell>
          <cell r="BM61">
            <v>330</v>
          </cell>
          <cell r="BN61">
            <v>330</v>
          </cell>
          <cell r="BO61">
            <v>330</v>
          </cell>
        </row>
        <row r="62">
          <cell r="A62" t="str">
            <v>Estonia</v>
          </cell>
          <cell r="B62">
            <v>8587</v>
          </cell>
          <cell r="C62">
            <v>8785</v>
          </cell>
          <cell r="D62">
            <v>8956</v>
          </cell>
          <cell r="E62">
            <v>9101</v>
          </cell>
          <cell r="F62">
            <v>9222</v>
          </cell>
          <cell r="G62">
            <v>9323</v>
          </cell>
          <cell r="H62">
            <v>9407</v>
          </cell>
          <cell r="I62">
            <v>9474</v>
          </cell>
          <cell r="J62">
            <v>9526</v>
          </cell>
          <cell r="K62">
            <v>9566</v>
          </cell>
          <cell r="L62">
            <v>9594</v>
          </cell>
          <cell r="M62">
            <v>3527</v>
          </cell>
          <cell r="N62">
            <v>3727</v>
          </cell>
          <cell r="O62">
            <v>3901</v>
          </cell>
          <cell r="P62">
            <v>4053</v>
          </cell>
          <cell r="Q62">
            <v>4184</v>
          </cell>
          <cell r="R62">
            <v>4296</v>
          </cell>
          <cell r="S62">
            <v>4390</v>
          </cell>
          <cell r="T62">
            <v>4470</v>
          </cell>
          <cell r="U62">
            <v>4536</v>
          </cell>
          <cell r="V62">
            <v>4591</v>
          </cell>
          <cell r="W62">
            <v>4638</v>
          </cell>
          <cell r="X62">
            <v>209</v>
          </cell>
          <cell r="Y62">
            <v>238</v>
          </cell>
          <cell r="Z62">
            <v>263</v>
          </cell>
          <cell r="AA62">
            <v>287</v>
          </cell>
          <cell r="AB62">
            <v>308</v>
          </cell>
          <cell r="AC62">
            <v>327</v>
          </cell>
          <cell r="AD62">
            <v>344</v>
          </cell>
          <cell r="AE62">
            <v>359</v>
          </cell>
          <cell r="AF62">
            <v>372</v>
          </cell>
          <cell r="AG62">
            <v>382</v>
          </cell>
          <cell r="AH62">
            <v>389</v>
          </cell>
          <cell r="AI62">
            <v>99</v>
          </cell>
          <cell r="AJ62">
            <v>123</v>
          </cell>
          <cell r="AK62">
            <v>151</v>
          </cell>
          <cell r="AL62">
            <v>177</v>
          </cell>
          <cell r="AM62">
            <v>202</v>
          </cell>
          <cell r="AN62">
            <v>224</v>
          </cell>
          <cell r="AO62">
            <v>245</v>
          </cell>
          <cell r="AP62">
            <v>264</v>
          </cell>
          <cell r="AQ62">
            <v>280</v>
          </cell>
          <cell r="AR62">
            <v>295</v>
          </cell>
          <cell r="AS62">
            <v>304</v>
          </cell>
          <cell r="AT62">
            <v>77</v>
          </cell>
          <cell r="AU62">
            <v>78</v>
          </cell>
          <cell r="AV62">
            <v>79</v>
          </cell>
          <cell r="AW62">
            <v>78</v>
          </cell>
          <cell r="AX62">
            <v>78</v>
          </cell>
          <cell r="AY62">
            <v>76</v>
          </cell>
          <cell r="AZ62">
            <v>75</v>
          </cell>
          <cell r="BA62">
            <v>73</v>
          </cell>
          <cell r="BB62">
            <v>71</v>
          </cell>
          <cell r="BC62">
            <v>69</v>
          </cell>
          <cell r="BD62">
            <v>67</v>
          </cell>
          <cell r="BE62">
            <v>74</v>
          </cell>
          <cell r="BF62">
            <v>74</v>
          </cell>
          <cell r="BG62">
            <v>74</v>
          </cell>
          <cell r="BH62">
            <v>74</v>
          </cell>
          <cell r="BI62">
            <v>74</v>
          </cell>
          <cell r="BJ62">
            <v>74</v>
          </cell>
          <cell r="BK62">
            <v>74</v>
          </cell>
          <cell r="BL62">
            <v>73</v>
          </cell>
          <cell r="BM62">
            <v>71</v>
          </cell>
          <cell r="BN62">
            <v>69</v>
          </cell>
          <cell r="BO62">
            <v>67</v>
          </cell>
        </row>
        <row r="63">
          <cell r="A63" t="str">
            <v>Ethiopia</v>
          </cell>
          <cell r="B63">
            <v>666205</v>
          </cell>
          <cell r="C63">
            <v>664746</v>
          </cell>
          <cell r="D63">
            <v>665555</v>
          </cell>
          <cell r="E63">
            <v>668091</v>
          </cell>
          <cell r="F63">
            <v>669892</v>
          </cell>
          <cell r="G63">
            <v>670169</v>
          </cell>
          <cell r="H63">
            <v>669295</v>
          </cell>
          <cell r="I63">
            <v>667257</v>
          </cell>
          <cell r="J63">
            <v>664193</v>
          </cell>
          <cell r="K63">
            <v>660159</v>
          </cell>
          <cell r="L63">
            <v>655331</v>
          </cell>
          <cell r="M63">
            <v>329733</v>
          </cell>
          <cell r="N63">
            <v>361246</v>
          </cell>
          <cell r="O63">
            <v>395736</v>
          </cell>
          <cell r="P63">
            <v>433206</v>
          </cell>
          <cell r="Q63">
            <v>446684</v>
          </cell>
          <cell r="R63">
            <v>458205</v>
          </cell>
          <cell r="S63">
            <v>467733</v>
          </cell>
          <cell r="T63">
            <v>475318</v>
          </cell>
          <cell r="U63">
            <v>481087</v>
          </cell>
          <cell r="V63">
            <v>485136</v>
          </cell>
          <cell r="W63">
            <v>487466</v>
          </cell>
          <cell r="X63">
            <v>159033</v>
          </cell>
          <cell r="Y63">
            <v>141910</v>
          </cell>
          <cell r="Z63">
            <v>130215</v>
          </cell>
          <cell r="AA63">
            <v>119544</v>
          </cell>
          <cell r="AB63">
            <v>110089</v>
          </cell>
          <cell r="AC63">
            <v>101570</v>
          </cell>
          <cell r="AD63">
            <v>93638</v>
          </cell>
          <cell r="AE63">
            <v>86262</v>
          </cell>
          <cell r="AF63">
            <v>79205</v>
          </cell>
          <cell r="AG63">
            <v>72357</v>
          </cell>
          <cell r="AH63">
            <v>65678</v>
          </cell>
          <cell r="AI63">
            <v>30950</v>
          </cell>
          <cell r="AJ63">
            <v>40674</v>
          </cell>
          <cell r="AK63">
            <v>42043</v>
          </cell>
          <cell r="AL63">
            <v>46982</v>
          </cell>
          <cell r="AM63">
            <v>51358</v>
          </cell>
          <cell r="AN63">
            <v>54709</v>
          </cell>
          <cell r="AO63">
            <v>56878</v>
          </cell>
          <cell r="AP63">
            <v>58041</v>
          </cell>
          <cell r="AQ63">
            <v>58267</v>
          </cell>
          <cell r="AR63">
            <v>57658</v>
          </cell>
          <cell r="AS63">
            <v>56821</v>
          </cell>
          <cell r="AT63">
            <v>35628</v>
          </cell>
          <cell r="AU63">
            <v>33505</v>
          </cell>
          <cell r="AV63">
            <v>31633</v>
          </cell>
          <cell r="AW63">
            <v>29990</v>
          </cell>
          <cell r="AX63">
            <v>28450</v>
          </cell>
          <cell r="AY63">
            <v>26954</v>
          </cell>
          <cell r="AZ63">
            <v>25533</v>
          </cell>
          <cell r="BA63">
            <v>24188</v>
          </cell>
          <cell r="BB63">
            <v>22919</v>
          </cell>
          <cell r="BC63">
            <v>21706</v>
          </cell>
          <cell r="BD63">
            <v>20553</v>
          </cell>
          <cell r="BE63">
            <v>25638</v>
          </cell>
          <cell r="BF63">
            <v>25479</v>
          </cell>
          <cell r="BG63">
            <v>24102</v>
          </cell>
          <cell r="BH63">
            <v>22929</v>
          </cell>
          <cell r="BI63">
            <v>21883</v>
          </cell>
          <cell r="BJ63">
            <v>20896</v>
          </cell>
          <cell r="BK63">
            <v>20896</v>
          </cell>
          <cell r="BL63">
            <v>20896</v>
          </cell>
          <cell r="BM63">
            <v>20896</v>
          </cell>
          <cell r="BN63">
            <v>20896</v>
          </cell>
          <cell r="BO63">
            <v>20553</v>
          </cell>
        </row>
        <row r="64">
          <cell r="A64" t="str">
            <v>Fiji</v>
          </cell>
          <cell r="B64">
            <v>703</v>
          </cell>
          <cell r="C64">
            <v>736</v>
          </cell>
          <cell r="D64">
            <v>768</v>
          </cell>
          <cell r="E64">
            <v>800</v>
          </cell>
          <cell r="F64">
            <v>830</v>
          </cell>
          <cell r="G64">
            <v>861</v>
          </cell>
          <cell r="H64">
            <v>891</v>
          </cell>
          <cell r="I64">
            <v>922</v>
          </cell>
          <cell r="J64">
            <v>952</v>
          </cell>
          <cell r="K64">
            <v>982</v>
          </cell>
          <cell r="L64">
            <v>1011</v>
          </cell>
          <cell r="M64">
            <v>285</v>
          </cell>
          <cell r="N64">
            <v>326</v>
          </cell>
          <cell r="O64">
            <v>366</v>
          </cell>
          <cell r="P64">
            <v>403</v>
          </cell>
          <cell r="Q64">
            <v>439</v>
          </cell>
          <cell r="R64">
            <v>474</v>
          </cell>
          <cell r="S64">
            <v>507</v>
          </cell>
          <cell r="T64">
            <v>540</v>
          </cell>
          <cell r="U64">
            <v>571</v>
          </cell>
          <cell r="V64">
            <v>602</v>
          </cell>
          <cell r="W64">
            <v>632</v>
          </cell>
          <cell r="X64">
            <v>31</v>
          </cell>
          <cell r="Y64">
            <v>33</v>
          </cell>
          <cell r="Z64">
            <v>36</v>
          </cell>
          <cell r="AA64">
            <v>38</v>
          </cell>
          <cell r="AB64">
            <v>40</v>
          </cell>
          <cell r="AC64">
            <v>42</v>
          </cell>
          <cell r="AD64">
            <v>44</v>
          </cell>
          <cell r="AE64">
            <v>45</v>
          </cell>
          <cell r="AF64">
            <v>46</v>
          </cell>
          <cell r="AG64">
            <v>46</v>
          </cell>
          <cell r="AH64">
            <v>47</v>
          </cell>
          <cell r="AI64">
            <v>2</v>
          </cell>
          <cell r="AJ64">
            <v>2</v>
          </cell>
          <cell r="AK64">
            <v>2</v>
          </cell>
          <cell r="AL64">
            <v>2</v>
          </cell>
          <cell r="AM64">
            <v>3</v>
          </cell>
          <cell r="AN64">
            <v>3</v>
          </cell>
          <cell r="AO64">
            <v>3</v>
          </cell>
          <cell r="AP64">
            <v>3</v>
          </cell>
          <cell r="AQ64">
            <v>3</v>
          </cell>
          <cell r="AR64">
            <v>2</v>
          </cell>
          <cell r="AS64">
            <v>2</v>
          </cell>
          <cell r="AT64">
            <v>16</v>
          </cell>
          <cell r="AU64">
            <v>17</v>
          </cell>
          <cell r="AV64">
            <v>17</v>
          </cell>
          <cell r="AW64">
            <v>17</v>
          </cell>
          <cell r="AX64">
            <v>17</v>
          </cell>
          <cell r="AY64">
            <v>17</v>
          </cell>
          <cell r="AZ64">
            <v>17</v>
          </cell>
          <cell r="BA64">
            <v>17</v>
          </cell>
          <cell r="BB64">
            <v>17</v>
          </cell>
          <cell r="BC64">
            <v>17</v>
          </cell>
          <cell r="BD64">
            <v>17</v>
          </cell>
          <cell r="BE64">
            <v>15</v>
          </cell>
          <cell r="BF64">
            <v>15</v>
          </cell>
          <cell r="BG64">
            <v>15</v>
          </cell>
          <cell r="BH64">
            <v>15</v>
          </cell>
          <cell r="BI64">
            <v>15</v>
          </cell>
          <cell r="BJ64">
            <v>15</v>
          </cell>
          <cell r="BK64">
            <v>15</v>
          </cell>
          <cell r="BL64">
            <v>15</v>
          </cell>
          <cell r="BM64">
            <v>15</v>
          </cell>
          <cell r="BN64">
            <v>15</v>
          </cell>
          <cell r="BO64">
            <v>15</v>
          </cell>
        </row>
        <row r="65">
          <cell r="A65" t="str">
            <v>Finland</v>
          </cell>
          <cell r="B65">
            <v>4379</v>
          </cell>
          <cell r="C65">
            <v>4564</v>
          </cell>
          <cell r="D65">
            <v>4747</v>
          </cell>
          <cell r="E65">
            <v>4927</v>
          </cell>
          <cell r="F65">
            <v>5103</v>
          </cell>
          <cell r="G65">
            <v>5276</v>
          </cell>
          <cell r="H65">
            <v>5446</v>
          </cell>
          <cell r="I65">
            <v>5614</v>
          </cell>
          <cell r="J65">
            <v>5778</v>
          </cell>
          <cell r="K65">
            <v>5940</v>
          </cell>
          <cell r="L65">
            <v>6099</v>
          </cell>
          <cell r="M65">
            <v>2858</v>
          </cell>
          <cell r="N65">
            <v>3038</v>
          </cell>
          <cell r="O65">
            <v>3216</v>
          </cell>
          <cell r="P65">
            <v>3393</v>
          </cell>
          <cell r="Q65">
            <v>3568</v>
          </cell>
          <cell r="R65">
            <v>3741</v>
          </cell>
          <cell r="S65">
            <v>3911</v>
          </cell>
          <cell r="T65">
            <v>4079</v>
          </cell>
          <cell r="U65">
            <v>4244</v>
          </cell>
          <cell r="V65">
            <v>4407</v>
          </cell>
          <cell r="W65">
            <v>4567</v>
          </cell>
          <cell r="X65">
            <v>15</v>
          </cell>
          <cell r="Y65">
            <v>18</v>
          </cell>
          <cell r="Z65">
            <v>21</v>
          </cell>
          <cell r="AA65">
            <v>24</v>
          </cell>
          <cell r="AB65">
            <v>25</v>
          </cell>
          <cell r="AC65">
            <v>27</v>
          </cell>
          <cell r="AD65">
            <v>31</v>
          </cell>
          <cell r="AE65">
            <v>34</v>
          </cell>
          <cell r="AF65">
            <v>38</v>
          </cell>
          <cell r="AG65">
            <v>42</v>
          </cell>
          <cell r="AH65">
            <v>45</v>
          </cell>
          <cell r="AI65">
            <v>7</v>
          </cell>
          <cell r="AJ65">
            <v>9</v>
          </cell>
          <cell r="AK65">
            <v>12</v>
          </cell>
          <cell r="AL65">
            <v>10</v>
          </cell>
          <cell r="AM65">
            <v>17</v>
          </cell>
          <cell r="AN65">
            <v>18</v>
          </cell>
          <cell r="AO65">
            <v>21</v>
          </cell>
          <cell r="AP65">
            <v>24</v>
          </cell>
          <cell r="AQ65">
            <v>28</v>
          </cell>
          <cell r="AR65">
            <v>31</v>
          </cell>
          <cell r="AS65">
            <v>34</v>
          </cell>
          <cell r="AT65">
            <v>37</v>
          </cell>
          <cell r="AU65">
            <v>38</v>
          </cell>
          <cell r="AV65">
            <v>39</v>
          </cell>
          <cell r="AW65">
            <v>39</v>
          </cell>
          <cell r="AX65">
            <v>40</v>
          </cell>
          <cell r="AY65">
            <v>41</v>
          </cell>
          <cell r="AZ65">
            <v>41</v>
          </cell>
          <cell r="BA65">
            <v>41</v>
          </cell>
          <cell r="BB65">
            <v>42</v>
          </cell>
          <cell r="BC65">
            <v>42</v>
          </cell>
          <cell r="BD65">
            <v>42</v>
          </cell>
          <cell r="BE65">
            <v>37</v>
          </cell>
          <cell r="BF65">
            <v>37</v>
          </cell>
          <cell r="BG65">
            <v>38</v>
          </cell>
          <cell r="BH65">
            <v>39</v>
          </cell>
          <cell r="BI65">
            <v>39</v>
          </cell>
          <cell r="BJ65">
            <v>40</v>
          </cell>
          <cell r="BK65">
            <v>40</v>
          </cell>
          <cell r="BL65">
            <v>40</v>
          </cell>
          <cell r="BM65">
            <v>40</v>
          </cell>
          <cell r="BN65">
            <v>40</v>
          </cell>
          <cell r="BO65">
            <v>40</v>
          </cell>
        </row>
        <row r="66">
          <cell r="A66" t="str">
            <v>France</v>
          </cell>
          <cell r="B66">
            <v>178973</v>
          </cell>
          <cell r="C66">
            <v>184975</v>
          </cell>
          <cell r="D66">
            <v>190893</v>
          </cell>
          <cell r="E66">
            <v>196722</v>
          </cell>
          <cell r="F66">
            <v>202456</v>
          </cell>
          <cell r="G66">
            <v>208085</v>
          </cell>
          <cell r="H66">
            <v>213624</v>
          </cell>
          <cell r="I66">
            <v>219073</v>
          </cell>
          <cell r="J66">
            <v>224434</v>
          </cell>
          <cell r="K66">
            <v>229709</v>
          </cell>
          <cell r="L66">
            <v>234896</v>
          </cell>
          <cell r="M66">
            <v>125279</v>
          </cell>
          <cell r="N66">
            <v>131407</v>
          </cell>
          <cell r="O66">
            <v>137437</v>
          </cell>
          <cell r="P66">
            <v>143367</v>
          </cell>
          <cell r="Q66">
            <v>149193</v>
          </cell>
          <cell r="R66">
            <v>154908</v>
          </cell>
          <cell r="S66">
            <v>160517</v>
          </cell>
          <cell r="T66">
            <v>166026</v>
          </cell>
          <cell r="U66">
            <v>171438</v>
          </cell>
          <cell r="V66">
            <v>176750</v>
          </cell>
          <cell r="W66">
            <v>181960</v>
          </cell>
          <cell r="X66">
            <v>860</v>
          </cell>
          <cell r="Y66">
            <v>908</v>
          </cell>
          <cell r="Z66">
            <v>955</v>
          </cell>
          <cell r="AA66">
            <v>999</v>
          </cell>
          <cell r="AB66">
            <v>1041</v>
          </cell>
          <cell r="AC66">
            <v>1079</v>
          </cell>
          <cell r="AD66">
            <v>1112</v>
          </cell>
          <cell r="AE66">
            <v>1140</v>
          </cell>
          <cell r="AF66">
            <v>1161</v>
          </cell>
          <cell r="AG66">
            <v>1172</v>
          </cell>
          <cell r="AH66">
            <v>1176</v>
          </cell>
          <cell r="AI66">
            <v>0</v>
          </cell>
          <cell r="AJ66">
            <v>0</v>
          </cell>
          <cell r="AK66">
            <v>0</v>
          </cell>
          <cell r="AL66">
            <v>0</v>
          </cell>
          <cell r="AM66">
            <v>0</v>
          </cell>
          <cell r="AN66">
            <v>0</v>
          </cell>
          <cell r="AO66">
            <v>0</v>
          </cell>
          <cell r="AP66">
            <v>0</v>
          </cell>
          <cell r="AQ66">
            <v>0</v>
          </cell>
          <cell r="AR66">
            <v>0</v>
          </cell>
          <cell r="AS66">
            <v>0</v>
          </cell>
          <cell r="AT66">
            <v>1722</v>
          </cell>
          <cell r="AU66">
            <v>1741</v>
          </cell>
          <cell r="AV66">
            <v>1756</v>
          </cell>
          <cell r="AW66">
            <v>1765</v>
          </cell>
          <cell r="AX66">
            <v>1770</v>
          </cell>
          <cell r="AY66">
            <v>1770</v>
          </cell>
          <cell r="AZ66">
            <v>1768</v>
          </cell>
          <cell r="BA66">
            <v>1762</v>
          </cell>
          <cell r="BB66">
            <v>1754</v>
          </cell>
          <cell r="BC66">
            <v>1743</v>
          </cell>
          <cell r="BD66">
            <v>1732</v>
          </cell>
          <cell r="BE66">
            <v>1645</v>
          </cell>
          <cell r="BF66">
            <v>1658</v>
          </cell>
          <cell r="BG66">
            <v>1667</v>
          </cell>
          <cell r="BH66">
            <v>1672</v>
          </cell>
          <cell r="BI66">
            <v>1673</v>
          </cell>
          <cell r="BJ66">
            <v>1672</v>
          </cell>
          <cell r="BK66">
            <v>1672</v>
          </cell>
          <cell r="BL66">
            <v>1672</v>
          </cell>
          <cell r="BM66">
            <v>1672</v>
          </cell>
          <cell r="BN66">
            <v>1672</v>
          </cell>
          <cell r="BO66">
            <v>1672</v>
          </cell>
        </row>
        <row r="67">
          <cell r="A67" t="str">
            <v>French Guiana</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row>
        <row r="68">
          <cell r="A68" t="str">
            <v>French Polynesia</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row>
        <row r="69">
          <cell r="A69" t="str">
            <v>Gabon</v>
          </cell>
          <cell r="B69">
            <v>40759</v>
          </cell>
          <cell r="C69">
            <v>40001</v>
          </cell>
          <cell r="D69">
            <v>39074</v>
          </cell>
          <cell r="E69">
            <v>38080</v>
          </cell>
          <cell r="F69">
            <v>37063</v>
          </cell>
          <cell r="G69">
            <v>36059</v>
          </cell>
          <cell r="H69">
            <v>35153</v>
          </cell>
          <cell r="I69">
            <v>34346</v>
          </cell>
          <cell r="J69">
            <v>33638</v>
          </cell>
          <cell r="K69">
            <v>33025</v>
          </cell>
          <cell r="L69">
            <v>32502</v>
          </cell>
          <cell r="M69">
            <v>16292</v>
          </cell>
          <cell r="N69">
            <v>16343</v>
          </cell>
          <cell r="O69">
            <v>16256</v>
          </cell>
          <cell r="P69">
            <v>16076</v>
          </cell>
          <cell r="Q69">
            <v>15844</v>
          </cell>
          <cell r="R69">
            <v>15594</v>
          </cell>
          <cell r="S69">
            <v>15276</v>
          </cell>
          <cell r="T69">
            <v>14964</v>
          </cell>
          <cell r="U69">
            <v>14665</v>
          </cell>
          <cell r="V69">
            <v>14387</v>
          </cell>
          <cell r="W69">
            <v>14128</v>
          </cell>
          <cell r="X69">
            <v>3809</v>
          </cell>
          <cell r="Y69">
            <v>3588</v>
          </cell>
          <cell r="Z69">
            <v>3365</v>
          </cell>
          <cell r="AA69">
            <v>3146</v>
          </cell>
          <cell r="AB69">
            <v>2919</v>
          </cell>
          <cell r="AC69">
            <v>2668</v>
          </cell>
          <cell r="AD69">
            <v>2400</v>
          </cell>
          <cell r="AE69">
            <v>2127</v>
          </cell>
          <cell r="AF69">
            <v>1862</v>
          </cell>
          <cell r="AG69">
            <v>1617</v>
          </cell>
          <cell r="AH69">
            <v>1389</v>
          </cell>
          <cell r="AI69">
            <v>714</v>
          </cell>
          <cell r="AJ69">
            <v>810</v>
          </cell>
          <cell r="AK69">
            <v>905</v>
          </cell>
          <cell r="AL69">
            <v>1033</v>
          </cell>
          <cell r="AM69">
            <v>1162</v>
          </cell>
          <cell r="AN69">
            <v>1253</v>
          </cell>
          <cell r="AO69">
            <v>1208</v>
          </cell>
          <cell r="AP69">
            <v>1152</v>
          </cell>
          <cell r="AQ69">
            <v>1082</v>
          </cell>
          <cell r="AR69">
            <v>987</v>
          </cell>
          <cell r="AS69">
            <v>902</v>
          </cell>
          <cell r="AT69">
            <v>1893</v>
          </cell>
          <cell r="AU69">
            <v>1748</v>
          </cell>
          <cell r="AV69">
            <v>1607</v>
          </cell>
          <cell r="AW69">
            <v>1475</v>
          </cell>
          <cell r="AX69">
            <v>1354</v>
          </cell>
          <cell r="AY69">
            <v>1242</v>
          </cell>
          <cell r="AZ69">
            <v>1145</v>
          </cell>
          <cell r="BA69">
            <v>1063</v>
          </cell>
          <cell r="BB69">
            <v>995</v>
          </cell>
          <cell r="BC69">
            <v>940</v>
          </cell>
          <cell r="BD69">
            <v>896</v>
          </cell>
          <cell r="BE69">
            <v>1214</v>
          </cell>
          <cell r="BF69">
            <v>1201</v>
          </cell>
          <cell r="BG69">
            <v>1188</v>
          </cell>
          <cell r="BH69">
            <v>1175</v>
          </cell>
          <cell r="BI69">
            <v>1163</v>
          </cell>
          <cell r="BJ69">
            <v>1150</v>
          </cell>
          <cell r="BK69">
            <v>1145</v>
          </cell>
          <cell r="BL69">
            <v>1063</v>
          </cell>
          <cell r="BM69">
            <v>995</v>
          </cell>
          <cell r="BN69">
            <v>940</v>
          </cell>
          <cell r="BO69">
            <v>896</v>
          </cell>
        </row>
        <row r="70">
          <cell r="A70" t="str">
            <v>Gambia</v>
          </cell>
          <cell r="B70">
            <v>12230</v>
          </cell>
          <cell r="C70">
            <v>12478</v>
          </cell>
          <cell r="D70">
            <v>12779</v>
          </cell>
          <cell r="E70">
            <v>13097</v>
          </cell>
          <cell r="F70">
            <v>13425</v>
          </cell>
          <cell r="G70">
            <v>13749</v>
          </cell>
          <cell r="H70">
            <v>14103</v>
          </cell>
          <cell r="I70">
            <v>14483</v>
          </cell>
          <cell r="J70">
            <v>14882</v>
          </cell>
          <cell r="K70">
            <v>15289</v>
          </cell>
          <cell r="L70">
            <v>15707</v>
          </cell>
          <cell r="M70">
            <v>5259</v>
          </cell>
          <cell r="N70">
            <v>5892</v>
          </cell>
          <cell r="O70">
            <v>6994</v>
          </cell>
          <cell r="P70">
            <v>7595</v>
          </cell>
          <cell r="Q70">
            <v>8373</v>
          </cell>
          <cell r="R70">
            <v>9041</v>
          </cell>
          <cell r="S70">
            <v>9540</v>
          </cell>
          <cell r="T70">
            <v>10025</v>
          </cell>
          <cell r="U70">
            <v>10497</v>
          </cell>
          <cell r="V70">
            <v>10948</v>
          </cell>
          <cell r="W70">
            <v>11382</v>
          </cell>
          <cell r="X70">
            <v>2527</v>
          </cell>
          <cell r="Y70">
            <v>2616</v>
          </cell>
          <cell r="Z70">
            <v>2682</v>
          </cell>
          <cell r="AA70">
            <v>2741</v>
          </cell>
          <cell r="AB70">
            <v>2797</v>
          </cell>
          <cell r="AC70">
            <v>2860</v>
          </cell>
          <cell r="AD70">
            <v>2953</v>
          </cell>
          <cell r="AE70">
            <v>3035</v>
          </cell>
          <cell r="AF70">
            <v>3077</v>
          </cell>
          <cell r="AG70">
            <v>3117</v>
          </cell>
          <cell r="AH70">
            <v>3148</v>
          </cell>
          <cell r="AI70">
            <v>482</v>
          </cell>
          <cell r="AJ70">
            <v>554</v>
          </cell>
          <cell r="AK70">
            <v>648</v>
          </cell>
          <cell r="AL70">
            <v>775</v>
          </cell>
          <cell r="AM70">
            <v>932</v>
          </cell>
          <cell r="AN70">
            <v>1150</v>
          </cell>
          <cell r="AO70">
            <v>1227</v>
          </cell>
          <cell r="AP70">
            <v>1320</v>
          </cell>
          <cell r="AQ70">
            <v>1396</v>
          </cell>
          <cell r="AR70">
            <v>1458</v>
          </cell>
          <cell r="AS70">
            <v>1520</v>
          </cell>
          <cell r="AT70">
            <v>1053</v>
          </cell>
          <cell r="AU70">
            <v>1051</v>
          </cell>
          <cell r="AV70">
            <v>1054</v>
          </cell>
          <cell r="AW70">
            <v>1052</v>
          </cell>
          <cell r="AX70">
            <v>1036</v>
          </cell>
          <cell r="AY70">
            <v>1014</v>
          </cell>
          <cell r="AZ70">
            <v>990</v>
          </cell>
          <cell r="BA70">
            <v>967</v>
          </cell>
          <cell r="BB70">
            <v>944</v>
          </cell>
          <cell r="BC70">
            <v>922</v>
          </cell>
          <cell r="BD70">
            <v>903</v>
          </cell>
          <cell r="BE70">
            <v>956</v>
          </cell>
          <cell r="BF70">
            <v>956</v>
          </cell>
          <cell r="BG70">
            <v>956</v>
          </cell>
          <cell r="BH70">
            <v>956</v>
          </cell>
          <cell r="BI70">
            <v>956</v>
          </cell>
          <cell r="BJ70">
            <v>956</v>
          </cell>
          <cell r="BK70">
            <v>956</v>
          </cell>
          <cell r="BL70">
            <v>956</v>
          </cell>
          <cell r="BM70">
            <v>944</v>
          </cell>
          <cell r="BN70">
            <v>922</v>
          </cell>
          <cell r="BO70">
            <v>903</v>
          </cell>
        </row>
        <row r="71">
          <cell r="A71" t="str">
            <v>Georgia</v>
          </cell>
          <cell r="B71">
            <v>8552</v>
          </cell>
          <cell r="C71">
            <v>9045</v>
          </cell>
          <cell r="D71">
            <v>9498</v>
          </cell>
          <cell r="E71">
            <v>9914</v>
          </cell>
          <cell r="F71">
            <v>10297</v>
          </cell>
          <cell r="G71">
            <v>10650</v>
          </cell>
          <cell r="H71">
            <v>10988</v>
          </cell>
          <cell r="I71">
            <v>11304</v>
          </cell>
          <cell r="J71">
            <v>11600</v>
          </cell>
          <cell r="K71">
            <v>11874</v>
          </cell>
          <cell r="L71">
            <v>12125</v>
          </cell>
          <cell r="M71">
            <v>3185</v>
          </cell>
          <cell r="N71">
            <v>3579</v>
          </cell>
          <cell r="O71">
            <v>3972</v>
          </cell>
          <cell r="P71">
            <v>4362</v>
          </cell>
          <cell r="Q71">
            <v>4749</v>
          </cell>
          <cell r="R71">
            <v>5133</v>
          </cell>
          <cell r="S71">
            <v>5459</v>
          </cell>
          <cell r="T71">
            <v>5767</v>
          </cell>
          <cell r="U71">
            <v>6058</v>
          </cell>
          <cell r="V71">
            <v>6330</v>
          </cell>
          <cell r="W71">
            <v>6583</v>
          </cell>
          <cell r="X71">
            <v>70</v>
          </cell>
          <cell r="Y71">
            <v>72</v>
          </cell>
          <cell r="Z71">
            <v>74</v>
          </cell>
          <cell r="AA71">
            <v>75</v>
          </cell>
          <cell r="AB71">
            <v>75</v>
          </cell>
          <cell r="AC71">
            <v>76</v>
          </cell>
          <cell r="AD71">
            <v>75</v>
          </cell>
          <cell r="AE71">
            <v>74</v>
          </cell>
          <cell r="AF71">
            <v>72</v>
          </cell>
          <cell r="AG71">
            <v>69</v>
          </cell>
          <cell r="AH71">
            <v>69</v>
          </cell>
          <cell r="AI71">
            <v>40</v>
          </cell>
          <cell r="AJ71">
            <v>43</v>
          </cell>
          <cell r="AK71">
            <v>46</v>
          </cell>
          <cell r="AL71">
            <v>48</v>
          </cell>
          <cell r="AM71">
            <v>51</v>
          </cell>
          <cell r="AN71">
            <v>53</v>
          </cell>
          <cell r="AO71">
            <v>54</v>
          </cell>
          <cell r="AP71">
            <v>55</v>
          </cell>
          <cell r="AQ71">
            <v>56</v>
          </cell>
          <cell r="AR71">
            <v>56</v>
          </cell>
          <cell r="AS71">
            <v>57</v>
          </cell>
          <cell r="AT71">
            <v>52</v>
          </cell>
          <cell r="AU71">
            <v>52</v>
          </cell>
          <cell r="AV71">
            <v>53</v>
          </cell>
          <cell r="AW71">
            <v>52</v>
          </cell>
          <cell r="AX71">
            <v>52</v>
          </cell>
          <cell r="AY71">
            <v>52</v>
          </cell>
          <cell r="AZ71">
            <v>51</v>
          </cell>
          <cell r="BA71">
            <v>50</v>
          </cell>
          <cell r="BB71">
            <v>49</v>
          </cell>
          <cell r="BC71">
            <v>48</v>
          </cell>
          <cell r="BD71">
            <v>47</v>
          </cell>
          <cell r="BE71">
            <v>42</v>
          </cell>
          <cell r="BF71">
            <v>42</v>
          </cell>
          <cell r="BG71">
            <v>42</v>
          </cell>
          <cell r="BH71">
            <v>42</v>
          </cell>
          <cell r="BI71">
            <v>42</v>
          </cell>
          <cell r="BJ71">
            <v>42</v>
          </cell>
          <cell r="BK71">
            <v>42</v>
          </cell>
          <cell r="BL71">
            <v>42</v>
          </cell>
          <cell r="BM71">
            <v>42</v>
          </cell>
          <cell r="BN71">
            <v>42</v>
          </cell>
          <cell r="BO71">
            <v>42</v>
          </cell>
        </row>
        <row r="72">
          <cell r="A72" t="str">
            <v>Germany</v>
          </cell>
          <cell r="B72">
            <v>82734</v>
          </cell>
          <cell r="C72">
            <v>86226</v>
          </cell>
          <cell r="D72">
            <v>89600</v>
          </cell>
          <cell r="E72">
            <v>92853</v>
          </cell>
          <cell r="F72">
            <v>95984</v>
          </cell>
          <cell r="G72">
            <v>98998</v>
          </cell>
          <cell r="H72">
            <v>101900</v>
          </cell>
          <cell r="I72">
            <v>104710</v>
          </cell>
          <cell r="J72">
            <v>107436</v>
          </cell>
          <cell r="K72">
            <v>110081</v>
          </cell>
          <cell r="L72">
            <v>112648</v>
          </cell>
          <cell r="M72">
            <v>54658</v>
          </cell>
          <cell r="N72">
            <v>57991</v>
          </cell>
          <cell r="O72">
            <v>61293</v>
          </cell>
          <cell r="P72">
            <v>64550</v>
          </cell>
          <cell r="Q72">
            <v>67752</v>
          </cell>
          <cell r="R72">
            <v>70890</v>
          </cell>
          <cell r="S72">
            <v>73958</v>
          </cell>
          <cell r="T72">
            <v>76951</v>
          </cell>
          <cell r="U72">
            <v>79870</v>
          </cell>
          <cell r="V72">
            <v>82712</v>
          </cell>
          <cell r="W72">
            <v>85475</v>
          </cell>
          <cell r="X72">
            <v>642</v>
          </cell>
          <cell r="Y72">
            <v>665</v>
          </cell>
          <cell r="Z72">
            <v>686</v>
          </cell>
          <cell r="AA72">
            <v>706</v>
          </cell>
          <cell r="AB72">
            <v>725</v>
          </cell>
          <cell r="AC72">
            <v>742</v>
          </cell>
          <cell r="AD72">
            <v>759</v>
          </cell>
          <cell r="AE72">
            <v>774</v>
          </cell>
          <cell r="AF72">
            <v>788</v>
          </cell>
          <cell r="AG72">
            <v>798</v>
          </cell>
          <cell r="AH72">
            <v>807</v>
          </cell>
          <cell r="AI72">
            <v>0</v>
          </cell>
          <cell r="AJ72">
            <v>0</v>
          </cell>
          <cell r="AK72">
            <v>0</v>
          </cell>
          <cell r="AL72">
            <v>0</v>
          </cell>
          <cell r="AM72">
            <v>0</v>
          </cell>
          <cell r="AN72">
            <v>0</v>
          </cell>
          <cell r="AO72">
            <v>0</v>
          </cell>
          <cell r="AP72">
            <v>0</v>
          </cell>
          <cell r="AQ72">
            <v>0</v>
          </cell>
          <cell r="AR72">
            <v>0</v>
          </cell>
          <cell r="AS72">
            <v>0</v>
          </cell>
          <cell r="AT72">
            <v>299</v>
          </cell>
          <cell r="AU72">
            <v>306</v>
          </cell>
          <cell r="AV72">
            <v>312</v>
          </cell>
          <cell r="AW72">
            <v>317</v>
          </cell>
          <cell r="AX72">
            <v>321</v>
          </cell>
          <cell r="AY72">
            <v>323</v>
          </cell>
          <cell r="AZ72">
            <v>325</v>
          </cell>
          <cell r="BA72">
            <v>325</v>
          </cell>
          <cell r="BB72">
            <v>325</v>
          </cell>
          <cell r="BC72">
            <v>324</v>
          </cell>
          <cell r="BD72">
            <v>322</v>
          </cell>
          <cell r="BE72">
            <v>293</v>
          </cell>
          <cell r="BF72">
            <v>299</v>
          </cell>
          <cell r="BG72">
            <v>304</v>
          </cell>
          <cell r="BH72">
            <v>308</v>
          </cell>
          <cell r="BI72">
            <v>311</v>
          </cell>
          <cell r="BJ72">
            <v>312</v>
          </cell>
          <cell r="BK72">
            <v>312</v>
          </cell>
          <cell r="BL72">
            <v>312</v>
          </cell>
          <cell r="BM72">
            <v>312</v>
          </cell>
          <cell r="BN72">
            <v>312</v>
          </cell>
          <cell r="BO72">
            <v>312</v>
          </cell>
        </row>
        <row r="73">
          <cell r="A73" t="str">
            <v>Ghana</v>
          </cell>
          <cell r="B73">
            <v>219231</v>
          </cell>
          <cell r="C73">
            <v>219773</v>
          </cell>
          <cell r="D73">
            <v>219491</v>
          </cell>
          <cell r="E73">
            <v>219274</v>
          </cell>
          <cell r="F73">
            <v>219174</v>
          </cell>
          <cell r="G73">
            <v>219159</v>
          </cell>
          <cell r="H73">
            <v>219353</v>
          </cell>
          <cell r="I73">
            <v>219566</v>
          </cell>
          <cell r="J73">
            <v>219814</v>
          </cell>
          <cell r="K73">
            <v>220139</v>
          </cell>
          <cell r="L73">
            <v>220428</v>
          </cell>
          <cell r="M73">
            <v>111011</v>
          </cell>
          <cell r="N73">
            <v>122336</v>
          </cell>
          <cell r="O73">
            <v>133616</v>
          </cell>
          <cell r="P73">
            <v>144813</v>
          </cell>
          <cell r="Q73">
            <v>155961</v>
          </cell>
          <cell r="R73">
            <v>167036</v>
          </cell>
          <cell r="S73">
            <v>172604</v>
          </cell>
          <cell r="T73">
            <v>177415</v>
          </cell>
          <cell r="U73">
            <v>181578</v>
          </cell>
          <cell r="V73">
            <v>185221</v>
          </cell>
          <cell r="W73">
            <v>188336</v>
          </cell>
          <cell r="X73">
            <v>30340</v>
          </cell>
          <cell r="Y73">
            <v>29225</v>
          </cell>
          <cell r="Z73">
            <v>28173</v>
          </cell>
          <cell r="AA73">
            <v>26954</v>
          </cell>
          <cell r="AB73">
            <v>25861</v>
          </cell>
          <cell r="AC73">
            <v>24749</v>
          </cell>
          <cell r="AD73">
            <v>23435</v>
          </cell>
          <cell r="AE73">
            <v>21986</v>
          </cell>
          <cell r="AF73">
            <v>20349</v>
          </cell>
          <cell r="AG73">
            <v>18629</v>
          </cell>
          <cell r="AH73">
            <v>17009</v>
          </cell>
          <cell r="AI73">
            <v>9476</v>
          </cell>
          <cell r="AJ73">
            <v>9666</v>
          </cell>
          <cell r="AK73">
            <v>11133</v>
          </cell>
          <cell r="AL73">
            <v>12469</v>
          </cell>
          <cell r="AM73">
            <v>13766</v>
          </cell>
          <cell r="AN73">
            <v>14712</v>
          </cell>
          <cell r="AO73">
            <v>15385</v>
          </cell>
          <cell r="AP73">
            <v>15736</v>
          </cell>
          <cell r="AQ73">
            <v>15741</v>
          </cell>
          <cell r="AR73">
            <v>15505</v>
          </cell>
          <cell r="AS73">
            <v>15093</v>
          </cell>
          <cell r="AT73">
            <v>12311</v>
          </cell>
          <cell r="AU73">
            <v>11643</v>
          </cell>
          <cell r="AV73">
            <v>10911</v>
          </cell>
          <cell r="AW73">
            <v>10169</v>
          </cell>
          <cell r="AX73">
            <v>9453</v>
          </cell>
          <cell r="AY73">
            <v>8771</v>
          </cell>
          <cell r="AZ73">
            <v>8126</v>
          </cell>
          <cell r="BA73">
            <v>7525</v>
          </cell>
          <cell r="BB73">
            <v>6973</v>
          </cell>
          <cell r="BC73">
            <v>6471</v>
          </cell>
          <cell r="BD73">
            <v>6022</v>
          </cell>
          <cell r="BE73">
            <v>8794</v>
          </cell>
          <cell r="BF73">
            <v>9113</v>
          </cell>
          <cell r="BG73">
            <v>8588</v>
          </cell>
          <cell r="BH73">
            <v>8046</v>
          </cell>
          <cell r="BI73">
            <v>7510</v>
          </cell>
          <cell r="BJ73">
            <v>6995</v>
          </cell>
          <cell r="BK73">
            <v>6995</v>
          </cell>
          <cell r="BL73">
            <v>6995</v>
          </cell>
          <cell r="BM73">
            <v>6973</v>
          </cell>
          <cell r="BN73">
            <v>6471</v>
          </cell>
          <cell r="BO73">
            <v>6022</v>
          </cell>
        </row>
        <row r="74">
          <cell r="A74" t="str">
            <v>Greece</v>
          </cell>
          <cell r="B74">
            <v>15230</v>
          </cell>
          <cell r="C74">
            <v>16134</v>
          </cell>
          <cell r="D74">
            <v>17007</v>
          </cell>
          <cell r="E74">
            <v>17849</v>
          </cell>
          <cell r="F74">
            <v>18661</v>
          </cell>
          <cell r="G74">
            <v>19447</v>
          </cell>
          <cell r="H74">
            <v>20198</v>
          </cell>
          <cell r="I74">
            <v>20919</v>
          </cell>
          <cell r="J74">
            <v>21609</v>
          </cell>
          <cell r="K74">
            <v>22268</v>
          </cell>
          <cell r="L74">
            <v>22891</v>
          </cell>
          <cell r="M74">
            <v>7729</v>
          </cell>
          <cell r="N74">
            <v>8324</v>
          </cell>
          <cell r="O74">
            <v>8933</v>
          </cell>
          <cell r="P74">
            <v>9549</v>
          </cell>
          <cell r="Q74">
            <v>10170</v>
          </cell>
          <cell r="R74">
            <v>10788</v>
          </cell>
          <cell r="S74">
            <v>11402</v>
          </cell>
          <cell r="T74">
            <v>12003</v>
          </cell>
          <cell r="U74">
            <v>12590</v>
          </cell>
          <cell r="V74">
            <v>13158</v>
          </cell>
          <cell r="W74">
            <v>13704</v>
          </cell>
          <cell r="X74">
            <v>22</v>
          </cell>
          <cell r="Y74">
            <v>26</v>
          </cell>
          <cell r="Z74">
            <v>30</v>
          </cell>
          <cell r="AA74">
            <v>33</v>
          </cell>
          <cell r="AB74">
            <v>34</v>
          </cell>
          <cell r="AC74">
            <v>38</v>
          </cell>
          <cell r="AD74">
            <v>43</v>
          </cell>
          <cell r="AE74">
            <v>50</v>
          </cell>
          <cell r="AF74">
            <v>58</v>
          </cell>
          <cell r="AG74">
            <v>67</v>
          </cell>
          <cell r="AH74">
            <v>77</v>
          </cell>
          <cell r="AI74">
            <v>11</v>
          </cell>
          <cell r="AJ74">
            <v>15</v>
          </cell>
          <cell r="AK74">
            <v>14</v>
          </cell>
          <cell r="AL74">
            <v>16</v>
          </cell>
          <cell r="AM74">
            <v>26</v>
          </cell>
          <cell r="AN74">
            <v>28</v>
          </cell>
          <cell r="AO74">
            <v>34</v>
          </cell>
          <cell r="AP74">
            <v>42</v>
          </cell>
          <cell r="AQ74">
            <v>50</v>
          </cell>
          <cell r="AR74">
            <v>59</v>
          </cell>
          <cell r="AS74">
            <v>69</v>
          </cell>
          <cell r="AT74">
            <v>59</v>
          </cell>
          <cell r="AU74">
            <v>61</v>
          </cell>
          <cell r="AV74">
            <v>64</v>
          </cell>
          <cell r="AW74">
            <v>66</v>
          </cell>
          <cell r="AX74">
            <v>68</v>
          </cell>
          <cell r="AY74">
            <v>70</v>
          </cell>
          <cell r="AZ74">
            <v>72</v>
          </cell>
          <cell r="BA74">
            <v>74</v>
          </cell>
          <cell r="BB74">
            <v>75</v>
          </cell>
          <cell r="BC74">
            <v>77</v>
          </cell>
          <cell r="BD74">
            <v>78</v>
          </cell>
          <cell r="BE74">
            <v>59</v>
          </cell>
          <cell r="BF74">
            <v>61</v>
          </cell>
          <cell r="BG74">
            <v>64</v>
          </cell>
          <cell r="BH74">
            <v>66</v>
          </cell>
          <cell r="BI74">
            <v>68</v>
          </cell>
          <cell r="BJ74">
            <v>70</v>
          </cell>
          <cell r="BK74">
            <v>71</v>
          </cell>
          <cell r="BL74">
            <v>71</v>
          </cell>
          <cell r="BM74">
            <v>71</v>
          </cell>
          <cell r="BN74">
            <v>71</v>
          </cell>
          <cell r="BO74">
            <v>71</v>
          </cell>
        </row>
        <row r="75">
          <cell r="A75" t="str">
            <v>Grenada</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row>
        <row r="76">
          <cell r="A76" t="str">
            <v>Guadeloupe</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row>
        <row r="77">
          <cell r="A77" t="str">
            <v>Guam</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row>
        <row r="78">
          <cell r="A78" t="str">
            <v>Guatemala</v>
          </cell>
          <cell r="B78">
            <v>52519</v>
          </cell>
          <cell r="C78">
            <v>53851</v>
          </cell>
          <cell r="D78">
            <v>54919</v>
          </cell>
          <cell r="E78">
            <v>55922</v>
          </cell>
          <cell r="F78">
            <v>56955</v>
          </cell>
          <cell r="G78">
            <v>58054</v>
          </cell>
          <cell r="H78">
            <v>59210</v>
          </cell>
          <cell r="I78">
            <v>60415</v>
          </cell>
          <cell r="J78">
            <v>61669</v>
          </cell>
          <cell r="K78">
            <v>62961</v>
          </cell>
          <cell r="L78">
            <v>64305</v>
          </cell>
          <cell r="M78">
            <v>12048</v>
          </cell>
          <cell r="N78">
            <v>13712</v>
          </cell>
          <cell r="O78">
            <v>13579</v>
          </cell>
          <cell r="P78">
            <v>14484</v>
          </cell>
          <cell r="Q78">
            <v>15367</v>
          </cell>
          <cell r="R78">
            <v>16298</v>
          </cell>
          <cell r="S78">
            <v>16713</v>
          </cell>
          <cell r="T78">
            <v>17118</v>
          </cell>
          <cell r="U78">
            <v>17521</v>
          </cell>
          <cell r="V78">
            <v>17918</v>
          </cell>
          <cell r="W78">
            <v>18317</v>
          </cell>
          <cell r="X78">
            <v>2932</v>
          </cell>
          <cell r="Y78">
            <v>3024</v>
          </cell>
          <cell r="Z78">
            <v>3107</v>
          </cell>
          <cell r="AA78">
            <v>3202</v>
          </cell>
          <cell r="AB78">
            <v>3310</v>
          </cell>
          <cell r="AC78">
            <v>3418</v>
          </cell>
          <cell r="AD78">
            <v>3524</v>
          </cell>
          <cell r="AE78">
            <v>3595</v>
          </cell>
          <cell r="AF78">
            <v>3634</v>
          </cell>
          <cell r="AG78">
            <v>3668</v>
          </cell>
          <cell r="AH78">
            <v>3684</v>
          </cell>
          <cell r="AI78">
            <v>815</v>
          </cell>
          <cell r="AJ78">
            <v>933</v>
          </cell>
          <cell r="AK78">
            <v>978</v>
          </cell>
          <cell r="AL78">
            <v>1017</v>
          </cell>
          <cell r="AM78">
            <v>1067</v>
          </cell>
          <cell r="AN78">
            <v>1150</v>
          </cell>
          <cell r="AO78">
            <v>1193</v>
          </cell>
          <cell r="AP78">
            <v>1228</v>
          </cell>
          <cell r="AQ78">
            <v>1247</v>
          </cell>
          <cell r="AR78">
            <v>1259</v>
          </cell>
          <cell r="AS78">
            <v>1269</v>
          </cell>
          <cell r="AT78">
            <v>1659</v>
          </cell>
          <cell r="AU78">
            <v>1667</v>
          </cell>
          <cell r="AV78">
            <v>1663</v>
          </cell>
          <cell r="AW78">
            <v>1653</v>
          </cell>
          <cell r="AX78">
            <v>1643</v>
          </cell>
          <cell r="AY78">
            <v>1638</v>
          </cell>
          <cell r="AZ78">
            <v>1633</v>
          </cell>
          <cell r="BA78">
            <v>1629</v>
          </cell>
          <cell r="BB78">
            <v>1628</v>
          </cell>
          <cell r="BC78">
            <v>1629</v>
          </cell>
          <cell r="BD78">
            <v>1631</v>
          </cell>
          <cell r="BE78">
            <v>349</v>
          </cell>
          <cell r="BF78">
            <v>349</v>
          </cell>
          <cell r="BG78">
            <v>352</v>
          </cell>
          <cell r="BH78">
            <v>355</v>
          </cell>
          <cell r="BI78">
            <v>361</v>
          </cell>
          <cell r="BJ78">
            <v>365</v>
          </cell>
          <cell r="BK78">
            <v>365</v>
          </cell>
          <cell r="BL78">
            <v>365</v>
          </cell>
          <cell r="BM78">
            <v>365</v>
          </cell>
          <cell r="BN78">
            <v>365</v>
          </cell>
          <cell r="BO78">
            <v>365</v>
          </cell>
        </row>
        <row r="79">
          <cell r="A79" t="str">
            <v>Guinea</v>
          </cell>
          <cell r="B79">
            <v>120998</v>
          </cell>
          <cell r="C79">
            <v>123845</v>
          </cell>
          <cell r="D79">
            <v>126793</v>
          </cell>
          <cell r="E79">
            <v>129654</v>
          </cell>
          <cell r="F79">
            <v>132493</v>
          </cell>
          <cell r="G79">
            <v>135323</v>
          </cell>
          <cell r="H79">
            <v>138237</v>
          </cell>
          <cell r="I79">
            <v>141157</v>
          </cell>
          <cell r="J79">
            <v>144100</v>
          </cell>
          <cell r="K79">
            <v>147085</v>
          </cell>
          <cell r="L79">
            <v>150131</v>
          </cell>
          <cell r="M79">
            <v>43940</v>
          </cell>
          <cell r="N79">
            <v>49581</v>
          </cell>
          <cell r="O79">
            <v>55441</v>
          </cell>
          <cell r="P79">
            <v>60396</v>
          </cell>
          <cell r="Q79">
            <v>65342</v>
          </cell>
          <cell r="R79">
            <v>70315</v>
          </cell>
          <cell r="S79">
            <v>73730</v>
          </cell>
          <cell r="T79">
            <v>76861</v>
          </cell>
          <cell r="U79">
            <v>79759</v>
          </cell>
          <cell r="V79">
            <v>82457</v>
          </cell>
          <cell r="W79">
            <v>85026</v>
          </cell>
          <cell r="X79">
            <v>13212</v>
          </cell>
          <cell r="Y79">
            <v>13911</v>
          </cell>
          <cell r="Z79">
            <v>14273</v>
          </cell>
          <cell r="AA79">
            <v>14624</v>
          </cell>
          <cell r="AB79">
            <v>14933</v>
          </cell>
          <cell r="AC79">
            <v>15265</v>
          </cell>
          <cell r="AD79">
            <v>15644</v>
          </cell>
          <cell r="AE79">
            <v>15945</v>
          </cell>
          <cell r="AF79">
            <v>16071</v>
          </cell>
          <cell r="AG79">
            <v>16081</v>
          </cell>
          <cell r="AH79">
            <v>15980</v>
          </cell>
          <cell r="AI79">
            <v>3388</v>
          </cell>
          <cell r="AJ79">
            <v>3956</v>
          </cell>
          <cell r="AK79">
            <v>4593</v>
          </cell>
          <cell r="AL79">
            <v>5154</v>
          </cell>
          <cell r="AM79">
            <v>5818</v>
          </cell>
          <cell r="AN79">
            <v>6568</v>
          </cell>
          <cell r="AO79">
            <v>6944</v>
          </cell>
          <cell r="AP79">
            <v>7320</v>
          </cell>
          <cell r="AQ79">
            <v>7599</v>
          </cell>
          <cell r="AR79">
            <v>7777</v>
          </cell>
          <cell r="AS79">
            <v>7852</v>
          </cell>
          <cell r="AT79">
            <v>7372</v>
          </cell>
          <cell r="AU79">
            <v>7347</v>
          </cell>
          <cell r="AV79">
            <v>7282</v>
          </cell>
          <cell r="AW79">
            <v>7186</v>
          </cell>
          <cell r="AX79">
            <v>7056</v>
          </cell>
          <cell r="AY79">
            <v>6911</v>
          </cell>
          <cell r="AZ79">
            <v>6745</v>
          </cell>
          <cell r="BA79">
            <v>6564</v>
          </cell>
          <cell r="BB79">
            <v>6384</v>
          </cell>
          <cell r="BC79">
            <v>6212</v>
          </cell>
          <cell r="BD79">
            <v>6051</v>
          </cell>
          <cell r="BE79">
            <v>4769</v>
          </cell>
          <cell r="BF79">
            <v>5431</v>
          </cell>
          <cell r="BG79">
            <v>6036</v>
          </cell>
          <cell r="BH79">
            <v>6085</v>
          </cell>
          <cell r="BI79">
            <v>6115</v>
          </cell>
          <cell r="BJ79">
            <v>6064</v>
          </cell>
          <cell r="BK79">
            <v>6064</v>
          </cell>
          <cell r="BL79">
            <v>6064</v>
          </cell>
          <cell r="BM79">
            <v>6064</v>
          </cell>
          <cell r="BN79">
            <v>6064</v>
          </cell>
          <cell r="BO79">
            <v>6051</v>
          </cell>
        </row>
        <row r="80">
          <cell r="A80" t="str">
            <v>Guinea-Bissau</v>
          </cell>
          <cell r="B80">
            <v>38547</v>
          </cell>
          <cell r="C80">
            <v>39030</v>
          </cell>
          <cell r="D80">
            <v>39624</v>
          </cell>
          <cell r="E80">
            <v>40295</v>
          </cell>
          <cell r="F80">
            <v>41012</v>
          </cell>
          <cell r="G80">
            <v>41740</v>
          </cell>
          <cell r="H80">
            <v>42588</v>
          </cell>
          <cell r="I80">
            <v>43462</v>
          </cell>
          <cell r="J80">
            <v>44360</v>
          </cell>
          <cell r="K80">
            <v>45279</v>
          </cell>
          <cell r="L80">
            <v>46225</v>
          </cell>
          <cell r="M80">
            <v>8841</v>
          </cell>
          <cell r="N80">
            <v>10954</v>
          </cell>
          <cell r="O80">
            <v>13391</v>
          </cell>
          <cell r="P80">
            <v>16189</v>
          </cell>
          <cell r="Q80">
            <v>19371</v>
          </cell>
          <cell r="R80">
            <v>22945</v>
          </cell>
          <cell r="S80">
            <v>24499</v>
          </cell>
          <cell r="T80">
            <v>25933</v>
          </cell>
          <cell r="U80">
            <v>27268</v>
          </cell>
          <cell r="V80">
            <v>28512</v>
          </cell>
          <cell r="W80">
            <v>29682</v>
          </cell>
          <cell r="X80">
            <v>6163</v>
          </cell>
          <cell r="Y80">
            <v>6229</v>
          </cell>
          <cell r="Z80">
            <v>6338</v>
          </cell>
          <cell r="AA80">
            <v>6467</v>
          </cell>
          <cell r="AB80">
            <v>6625</v>
          </cell>
          <cell r="AC80">
            <v>6840</v>
          </cell>
          <cell r="AD80">
            <v>7232</v>
          </cell>
          <cell r="AE80">
            <v>7659</v>
          </cell>
          <cell r="AF80">
            <v>8002</v>
          </cell>
          <cell r="AG80">
            <v>8299</v>
          </cell>
          <cell r="AH80">
            <v>8541</v>
          </cell>
          <cell r="AI80">
            <v>838</v>
          </cell>
          <cell r="AJ80">
            <v>1160</v>
          </cell>
          <cell r="AK80">
            <v>1543</v>
          </cell>
          <cell r="AL80">
            <v>2005</v>
          </cell>
          <cell r="AM80">
            <v>2555</v>
          </cell>
          <cell r="AN80">
            <v>3360</v>
          </cell>
          <cell r="AO80">
            <v>3814</v>
          </cell>
          <cell r="AP80">
            <v>4395</v>
          </cell>
          <cell r="AQ80">
            <v>4960</v>
          </cell>
          <cell r="AR80">
            <v>5457</v>
          </cell>
          <cell r="AS80">
            <v>5892</v>
          </cell>
          <cell r="AT80">
            <v>2396</v>
          </cell>
          <cell r="AU80">
            <v>2357</v>
          </cell>
          <cell r="AV80">
            <v>2337</v>
          </cell>
          <cell r="AW80">
            <v>2323</v>
          </cell>
          <cell r="AX80">
            <v>2313</v>
          </cell>
          <cell r="AY80">
            <v>2306</v>
          </cell>
          <cell r="AZ80">
            <v>2278</v>
          </cell>
          <cell r="BA80">
            <v>2227</v>
          </cell>
          <cell r="BB80">
            <v>2174</v>
          </cell>
          <cell r="BC80">
            <v>2120</v>
          </cell>
          <cell r="BD80">
            <v>2068</v>
          </cell>
          <cell r="BE80">
            <v>1176</v>
          </cell>
          <cell r="BF80">
            <v>1163</v>
          </cell>
          <cell r="BG80">
            <v>1150</v>
          </cell>
          <cell r="BH80">
            <v>1137</v>
          </cell>
          <cell r="BI80">
            <v>1125</v>
          </cell>
          <cell r="BJ80">
            <v>1112</v>
          </cell>
          <cell r="BK80">
            <v>1112</v>
          </cell>
          <cell r="BL80">
            <v>1112</v>
          </cell>
          <cell r="BM80">
            <v>1112</v>
          </cell>
          <cell r="BN80">
            <v>1112</v>
          </cell>
          <cell r="BO80">
            <v>1112</v>
          </cell>
        </row>
        <row r="81">
          <cell r="A81" t="str">
            <v>Guyana</v>
          </cell>
          <cell r="B81">
            <v>8382</v>
          </cell>
          <cell r="C81">
            <v>8572</v>
          </cell>
          <cell r="D81">
            <v>8736</v>
          </cell>
          <cell r="E81">
            <v>8880</v>
          </cell>
          <cell r="F81">
            <v>9007</v>
          </cell>
          <cell r="G81">
            <v>9121</v>
          </cell>
          <cell r="H81">
            <v>9235</v>
          </cell>
          <cell r="I81">
            <v>9356</v>
          </cell>
          <cell r="J81">
            <v>9479</v>
          </cell>
          <cell r="K81">
            <v>9600</v>
          </cell>
          <cell r="L81">
            <v>9706</v>
          </cell>
          <cell r="M81">
            <v>4705</v>
          </cell>
          <cell r="N81">
            <v>5004</v>
          </cell>
          <cell r="O81">
            <v>5283</v>
          </cell>
          <cell r="P81">
            <v>5541</v>
          </cell>
          <cell r="Q81">
            <v>5786</v>
          </cell>
          <cell r="R81">
            <v>6019</v>
          </cell>
          <cell r="S81">
            <v>6233</v>
          </cell>
          <cell r="T81">
            <v>6434</v>
          </cell>
          <cell r="U81">
            <v>6620</v>
          </cell>
          <cell r="V81">
            <v>6788</v>
          </cell>
          <cell r="W81">
            <v>6932</v>
          </cell>
          <cell r="X81">
            <v>436</v>
          </cell>
          <cell r="Y81">
            <v>465</v>
          </cell>
          <cell r="Z81">
            <v>474</v>
          </cell>
          <cell r="AA81">
            <v>484</v>
          </cell>
          <cell r="AB81">
            <v>487</v>
          </cell>
          <cell r="AC81">
            <v>485</v>
          </cell>
          <cell r="AD81">
            <v>488</v>
          </cell>
          <cell r="AE81">
            <v>489</v>
          </cell>
          <cell r="AF81">
            <v>486</v>
          </cell>
          <cell r="AG81">
            <v>484</v>
          </cell>
          <cell r="AH81">
            <v>494</v>
          </cell>
          <cell r="AI81">
            <v>188</v>
          </cell>
          <cell r="AJ81">
            <v>219</v>
          </cell>
          <cell r="AK81">
            <v>246</v>
          </cell>
          <cell r="AL81">
            <v>267</v>
          </cell>
          <cell r="AM81">
            <v>284</v>
          </cell>
          <cell r="AN81">
            <v>307</v>
          </cell>
          <cell r="AO81">
            <v>315</v>
          </cell>
          <cell r="AP81">
            <v>325</v>
          </cell>
          <cell r="AQ81">
            <v>334</v>
          </cell>
          <cell r="AR81">
            <v>345</v>
          </cell>
          <cell r="AS81">
            <v>358</v>
          </cell>
          <cell r="AT81">
            <v>189</v>
          </cell>
          <cell r="AU81">
            <v>184</v>
          </cell>
          <cell r="AV81">
            <v>179</v>
          </cell>
          <cell r="AW81">
            <v>173</v>
          </cell>
          <cell r="AX81">
            <v>167</v>
          </cell>
          <cell r="AY81">
            <v>161</v>
          </cell>
          <cell r="AZ81">
            <v>156</v>
          </cell>
          <cell r="BA81">
            <v>152</v>
          </cell>
          <cell r="BB81">
            <v>148</v>
          </cell>
          <cell r="BC81">
            <v>145</v>
          </cell>
          <cell r="BD81">
            <v>142</v>
          </cell>
          <cell r="BE81">
            <v>181</v>
          </cell>
          <cell r="BF81">
            <v>181</v>
          </cell>
          <cell r="BG81">
            <v>179</v>
          </cell>
          <cell r="BH81">
            <v>173</v>
          </cell>
          <cell r="BI81">
            <v>167</v>
          </cell>
          <cell r="BJ81">
            <v>161</v>
          </cell>
          <cell r="BK81">
            <v>156</v>
          </cell>
          <cell r="BL81">
            <v>152</v>
          </cell>
          <cell r="BM81">
            <v>148</v>
          </cell>
          <cell r="BN81">
            <v>145</v>
          </cell>
          <cell r="BO81">
            <v>142</v>
          </cell>
        </row>
        <row r="82">
          <cell r="A82" t="str">
            <v>Haiti</v>
          </cell>
          <cell r="B82">
            <v>140526</v>
          </cell>
          <cell r="C82">
            <v>140678</v>
          </cell>
          <cell r="D82">
            <v>140819</v>
          </cell>
          <cell r="E82">
            <v>140955</v>
          </cell>
          <cell r="F82">
            <v>141119</v>
          </cell>
          <cell r="G82">
            <v>141296</v>
          </cell>
          <cell r="H82">
            <v>141615</v>
          </cell>
          <cell r="I82">
            <v>141894</v>
          </cell>
          <cell r="J82">
            <v>142175</v>
          </cell>
          <cell r="K82">
            <v>142464</v>
          </cell>
          <cell r="L82">
            <v>142758</v>
          </cell>
          <cell r="M82">
            <v>59429</v>
          </cell>
          <cell r="N82">
            <v>65554</v>
          </cell>
          <cell r="O82">
            <v>71879</v>
          </cell>
          <cell r="P82">
            <v>78418</v>
          </cell>
          <cell r="Q82">
            <v>85193</v>
          </cell>
          <cell r="R82">
            <v>92183</v>
          </cell>
          <cell r="S82">
            <v>95317</v>
          </cell>
          <cell r="T82">
            <v>97984</v>
          </cell>
          <cell r="U82">
            <v>100274</v>
          </cell>
          <cell r="V82">
            <v>102240</v>
          </cell>
          <cell r="W82">
            <v>103935</v>
          </cell>
          <cell r="X82">
            <v>12237</v>
          </cell>
          <cell r="Y82">
            <v>11230</v>
          </cell>
          <cell r="Z82">
            <v>10384</v>
          </cell>
          <cell r="AA82">
            <v>9638</v>
          </cell>
          <cell r="AB82">
            <v>9042</v>
          </cell>
          <cell r="AC82">
            <v>8640</v>
          </cell>
          <cell r="AD82">
            <v>8306</v>
          </cell>
          <cell r="AE82">
            <v>7922</v>
          </cell>
          <cell r="AF82">
            <v>7422</v>
          </cell>
          <cell r="AG82">
            <v>6823</v>
          </cell>
          <cell r="AH82">
            <v>6182</v>
          </cell>
          <cell r="AI82">
            <v>2719</v>
          </cell>
          <cell r="AJ82">
            <v>2886</v>
          </cell>
          <cell r="AK82">
            <v>3117</v>
          </cell>
          <cell r="AL82">
            <v>3442</v>
          </cell>
          <cell r="AM82">
            <v>3852</v>
          </cell>
          <cell r="AN82">
            <v>4297</v>
          </cell>
          <cell r="AO82">
            <v>4606</v>
          </cell>
          <cell r="AP82">
            <v>4877</v>
          </cell>
          <cell r="AQ82">
            <v>4995</v>
          </cell>
          <cell r="AR82">
            <v>5003</v>
          </cell>
          <cell r="AS82">
            <v>4891</v>
          </cell>
          <cell r="AT82">
            <v>6215</v>
          </cell>
          <cell r="AU82">
            <v>6013</v>
          </cell>
          <cell r="AV82">
            <v>5785</v>
          </cell>
          <cell r="AW82">
            <v>5552</v>
          </cell>
          <cell r="AX82">
            <v>5316</v>
          </cell>
          <cell r="AY82">
            <v>5078</v>
          </cell>
          <cell r="AZ82">
            <v>4837</v>
          </cell>
          <cell r="BA82">
            <v>4595</v>
          </cell>
          <cell r="BB82">
            <v>4363</v>
          </cell>
          <cell r="BC82">
            <v>4142</v>
          </cell>
          <cell r="BD82">
            <v>3932</v>
          </cell>
          <cell r="BE82">
            <v>5305</v>
          </cell>
          <cell r="BF82">
            <v>5119</v>
          </cell>
          <cell r="BG82">
            <v>4906</v>
          </cell>
          <cell r="BH82">
            <v>4684</v>
          </cell>
          <cell r="BI82">
            <v>4458</v>
          </cell>
          <cell r="BJ82">
            <v>4229</v>
          </cell>
          <cell r="BK82">
            <v>4229</v>
          </cell>
          <cell r="BL82">
            <v>4229</v>
          </cell>
          <cell r="BM82">
            <v>4229</v>
          </cell>
          <cell r="BN82">
            <v>4142</v>
          </cell>
          <cell r="BO82">
            <v>3932</v>
          </cell>
        </row>
        <row r="83">
          <cell r="A83" t="str">
            <v>Honduras</v>
          </cell>
          <cell r="B83">
            <v>22890</v>
          </cell>
          <cell r="C83">
            <v>22576</v>
          </cell>
          <cell r="D83">
            <v>22420</v>
          </cell>
          <cell r="E83">
            <v>22420</v>
          </cell>
          <cell r="F83">
            <v>22552</v>
          </cell>
          <cell r="G83">
            <v>22793</v>
          </cell>
          <cell r="H83">
            <v>23046</v>
          </cell>
          <cell r="I83">
            <v>23282</v>
          </cell>
          <cell r="J83">
            <v>23504</v>
          </cell>
          <cell r="K83">
            <v>23714</v>
          </cell>
          <cell r="L83">
            <v>23912</v>
          </cell>
          <cell r="M83">
            <v>7949</v>
          </cell>
          <cell r="N83">
            <v>8507</v>
          </cell>
          <cell r="O83">
            <v>9139</v>
          </cell>
          <cell r="P83">
            <v>9853</v>
          </cell>
          <cell r="Q83">
            <v>10650</v>
          </cell>
          <cell r="R83">
            <v>11531</v>
          </cell>
          <cell r="S83">
            <v>11817</v>
          </cell>
          <cell r="T83">
            <v>12060</v>
          </cell>
          <cell r="U83">
            <v>12269</v>
          </cell>
          <cell r="V83">
            <v>12448</v>
          </cell>
          <cell r="W83">
            <v>12600</v>
          </cell>
          <cell r="X83">
            <v>1347</v>
          </cell>
          <cell r="Y83">
            <v>1174</v>
          </cell>
          <cell r="Z83">
            <v>1008</v>
          </cell>
          <cell r="AA83">
            <v>885</v>
          </cell>
          <cell r="AB83">
            <v>764</v>
          </cell>
          <cell r="AC83">
            <v>651</v>
          </cell>
          <cell r="AD83">
            <v>557</v>
          </cell>
          <cell r="AE83">
            <v>474</v>
          </cell>
          <cell r="AF83">
            <v>406</v>
          </cell>
          <cell r="AG83">
            <v>352</v>
          </cell>
          <cell r="AH83">
            <v>316</v>
          </cell>
          <cell r="AI83">
            <v>541</v>
          </cell>
          <cell r="AJ83">
            <v>546</v>
          </cell>
          <cell r="AK83">
            <v>514</v>
          </cell>
          <cell r="AL83">
            <v>454</v>
          </cell>
          <cell r="AM83">
            <v>397</v>
          </cell>
          <cell r="AN83">
            <v>345</v>
          </cell>
          <cell r="AO83">
            <v>299</v>
          </cell>
          <cell r="AP83">
            <v>261</v>
          </cell>
          <cell r="AQ83">
            <v>235</v>
          </cell>
          <cell r="AR83">
            <v>217</v>
          </cell>
          <cell r="AS83">
            <v>211</v>
          </cell>
          <cell r="AT83">
            <v>396</v>
          </cell>
          <cell r="AU83">
            <v>373</v>
          </cell>
          <cell r="AV83">
            <v>357</v>
          </cell>
          <cell r="AW83">
            <v>346</v>
          </cell>
          <cell r="AX83">
            <v>339</v>
          </cell>
          <cell r="AY83">
            <v>336</v>
          </cell>
          <cell r="AZ83">
            <v>333</v>
          </cell>
          <cell r="BA83">
            <v>329</v>
          </cell>
          <cell r="BB83">
            <v>325</v>
          </cell>
          <cell r="BC83">
            <v>320</v>
          </cell>
          <cell r="BD83">
            <v>316</v>
          </cell>
          <cell r="BE83">
            <v>280</v>
          </cell>
          <cell r="BF83">
            <v>286</v>
          </cell>
          <cell r="BG83">
            <v>299</v>
          </cell>
          <cell r="BH83">
            <v>313</v>
          </cell>
          <cell r="BI83">
            <v>332</v>
          </cell>
          <cell r="BJ83">
            <v>336</v>
          </cell>
          <cell r="BK83">
            <v>333</v>
          </cell>
          <cell r="BL83">
            <v>329</v>
          </cell>
          <cell r="BM83">
            <v>325</v>
          </cell>
          <cell r="BN83">
            <v>320</v>
          </cell>
          <cell r="BO83">
            <v>316</v>
          </cell>
        </row>
        <row r="84">
          <cell r="A84" t="str">
            <v>Hungary</v>
          </cell>
          <cell r="B84">
            <v>3580</v>
          </cell>
          <cell r="C84">
            <v>3788</v>
          </cell>
          <cell r="D84">
            <v>3984</v>
          </cell>
          <cell r="E84">
            <v>4170</v>
          </cell>
          <cell r="F84">
            <v>4344</v>
          </cell>
          <cell r="G84">
            <v>4507</v>
          </cell>
          <cell r="H84">
            <v>4657</v>
          </cell>
          <cell r="I84">
            <v>4794</v>
          </cell>
          <cell r="J84">
            <v>4920</v>
          </cell>
          <cell r="K84">
            <v>5033</v>
          </cell>
          <cell r="L84">
            <v>5134</v>
          </cell>
          <cell r="M84">
            <v>1432</v>
          </cell>
          <cell r="N84">
            <v>1564</v>
          </cell>
          <cell r="O84">
            <v>1695</v>
          </cell>
          <cell r="P84">
            <v>1820</v>
          </cell>
          <cell r="Q84">
            <v>1943</v>
          </cell>
          <cell r="R84">
            <v>2061</v>
          </cell>
          <cell r="S84">
            <v>2173</v>
          </cell>
          <cell r="T84">
            <v>2280</v>
          </cell>
          <cell r="U84">
            <v>2379</v>
          </cell>
          <cell r="V84">
            <v>2471</v>
          </cell>
          <cell r="W84">
            <v>2555</v>
          </cell>
          <cell r="X84">
            <v>20</v>
          </cell>
          <cell r="Y84">
            <v>21</v>
          </cell>
          <cell r="Z84">
            <v>22</v>
          </cell>
          <cell r="AA84">
            <v>23</v>
          </cell>
          <cell r="AB84">
            <v>24</v>
          </cell>
          <cell r="AC84">
            <v>25</v>
          </cell>
          <cell r="AD84">
            <v>26</v>
          </cell>
          <cell r="AE84">
            <v>26</v>
          </cell>
          <cell r="AF84">
            <v>26</v>
          </cell>
          <cell r="AG84">
            <v>27</v>
          </cell>
          <cell r="AH84">
            <v>27</v>
          </cell>
          <cell r="AI84">
            <v>5</v>
          </cell>
          <cell r="AJ84">
            <v>5</v>
          </cell>
          <cell r="AK84">
            <v>5</v>
          </cell>
          <cell r="AL84">
            <v>4</v>
          </cell>
          <cell r="AM84">
            <v>4</v>
          </cell>
          <cell r="AN84">
            <v>3</v>
          </cell>
          <cell r="AO84">
            <v>2</v>
          </cell>
          <cell r="AP84">
            <v>2</v>
          </cell>
          <cell r="AQ84">
            <v>0.81901000000000002</v>
          </cell>
          <cell r="AR84">
            <v>0.48914000000000002</v>
          </cell>
          <cell r="AS84">
            <v>0.43692999999999999</v>
          </cell>
          <cell r="AT84">
            <v>9</v>
          </cell>
          <cell r="AU84">
            <v>9</v>
          </cell>
          <cell r="AV84">
            <v>10</v>
          </cell>
          <cell r="AW84">
            <v>10</v>
          </cell>
          <cell r="AX84">
            <v>10</v>
          </cell>
          <cell r="AY84">
            <v>10</v>
          </cell>
          <cell r="AZ84">
            <v>11</v>
          </cell>
          <cell r="BA84">
            <v>11</v>
          </cell>
          <cell r="BB84">
            <v>11</v>
          </cell>
          <cell r="BC84">
            <v>11</v>
          </cell>
          <cell r="BD84">
            <v>11</v>
          </cell>
          <cell r="BE84">
            <v>9</v>
          </cell>
          <cell r="BF84">
            <v>9</v>
          </cell>
          <cell r="BG84">
            <v>10</v>
          </cell>
          <cell r="BH84">
            <v>10</v>
          </cell>
          <cell r="BI84">
            <v>10</v>
          </cell>
          <cell r="BJ84">
            <v>10</v>
          </cell>
          <cell r="BK84">
            <v>10</v>
          </cell>
          <cell r="BL84">
            <v>10</v>
          </cell>
          <cell r="BM84">
            <v>10</v>
          </cell>
          <cell r="BN84">
            <v>10</v>
          </cell>
          <cell r="BO84">
            <v>10</v>
          </cell>
        </row>
        <row r="85">
          <cell r="A85" t="str">
            <v>Iceland</v>
          </cell>
          <cell r="B85">
            <v>559</v>
          </cell>
          <cell r="C85">
            <v>576</v>
          </cell>
          <cell r="D85">
            <v>592</v>
          </cell>
          <cell r="E85">
            <v>608</v>
          </cell>
          <cell r="F85">
            <v>624</v>
          </cell>
          <cell r="G85">
            <v>640</v>
          </cell>
          <cell r="H85">
            <v>655</v>
          </cell>
          <cell r="I85">
            <v>670</v>
          </cell>
          <cell r="J85">
            <v>686</v>
          </cell>
          <cell r="K85">
            <v>700</v>
          </cell>
          <cell r="L85">
            <v>715</v>
          </cell>
          <cell r="M85">
            <v>386</v>
          </cell>
          <cell r="N85">
            <v>403</v>
          </cell>
          <cell r="O85">
            <v>421</v>
          </cell>
          <cell r="P85">
            <v>438</v>
          </cell>
          <cell r="Q85">
            <v>453</v>
          </cell>
          <cell r="R85">
            <v>470</v>
          </cell>
          <cell r="S85">
            <v>485</v>
          </cell>
          <cell r="T85">
            <v>501</v>
          </cell>
          <cell r="U85">
            <v>515</v>
          </cell>
          <cell r="V85">
            <v>530</v>
          </cell>
          <cell r="W85">
            <v>544</v>
          </cell>
          <cell r="X85">
            <v>13</v>
          </cell>
          <cell r="Y85">
            <v>13</v>
          </cell>
          <cell r="Z85">
            <v>13</v>
          </cell>
          <cell r="AA85">
            <v>13</v>
          </cell>
          <cell r="AB85">
            <v>13</v>
          </cell>
          <cell r="AC85">
            <v>13</v>
          </cell>
          <cell r="AD85">
            <v>13</v>
          </cell>
          <cell r="AE85">
            <v>13</v>
          </cell>
          <cell r="AF85">
            <v>13</v>
          </cell>
          <cell r="AG85">
            <v>13</v>
          </cell>
          <cell r="AH85">
            <v>13</v>
          </cell>
          <cell r="AI85">
            <v>0</v>
          </cell>
          <cell r="AJ85">
            <v>0</v>
          </cell>
          <cell r="AK85">
            <v>0</v>
          </cell>
          <cell r="AL85">
            <v>0</v>
          </cell>
          <cell r="AM85">
            <v>0</v>
          </cell>
          <cell r="AN85">
            <v>0</v>
          </cell>
          <cell r="AO85">
            <v>0</v>
          </cell>
          <cell r="AP85">
            <v>0</v>
          </cell>
          <cell r="AQ85">
            <v>0</v>
          </cell>
          <cell r="AR85">
            <v>0</v>
          </cell>
          <cell r="AS85">
            <v>0</v>
          </cell>
          <cell r="AT85">
            <v>5</v>
          </cell>
          <cell r="AU85">
            <v>5</v>
          </cell>
          <cell r="AV85">
            <v>5</v>
          </cell>
          <cell r="AW85">
            <v>5</v>
          </cell>
          <cell r="AX85">
            <v>5</v>
          </cell>
          <cell r="AY85">
            <v>5</v>
          </cell>
          <cell r="AZ85">
            <v>5</v>
          </cell>
          <cell r="BA85">
            <v>5</v>
          </cell>
          <cell r="BB85">
            <v>5</v>
          </cell>
          <cell r="BC85">
            <v>5</v>
          </cell>
          <cell r="BD85">
            <v>5</v>
          </cell>
          <cell r="BE85">
            <v>5</v>
          </cell>
          <cell r="BF85">
            <v>5</v>
          </cell>
          <cell r="BG85">
            <v>5</v>
          </cell>
          <cell r="BH85">
            <v>5</v>
          </cell>
          <cell r="BI85">
            <v>5</v>
          </cell>
          <cell r="BJ85">
            <v>5</v>
          </cell>
          <cell r="BK85">
            <v>5</v>
          </cell>
          <cell r="BL85">
            <v>5</v>
          </cell>
          <cell r="BM85">
            <v>5</v>
          </cell>
          <cell r="BN85">
            <v>5</v>
          </cell>
          <cell r="BO85">
            <v>5</v>
          </cell>
        </row>
        <row r="86">
          <cell r="A86" t="str">
            <v>India</v>
          </cell>
          <cell r="B86">
            <v>2130420</v>
          </cell>
          <cell r="C86">
            <v>2169633</v>
          </cell>
          <cell r="D86">
            <v>2221279</v>
          </cell>
          <cell r="E86">
            <v>2271446</v>
          </cell>
          <cell r="F86">
            <v>2318225</v>
          </cell>
          <cell r="G86">
            <v>2362145</v>
          </cell>
          <cell r="H86">
            <v>2403582</v>
          </cell>
          <cell r="I86">
            <v>2442600</v>
          </cell>
          <cell r="J86">
            <v>2479213</v>
          </cell>
          <cell r="K86">
            <v>2513618</v>
          </cell>
          <cell r="L86">
            <v>2545946</v>
          </cell>
          <cell r="M86">
            <v>729110</v>
          </cell>
          <cell r="N86">
            <v>812388</v>
          </cell>
          <cell r="O86">
            <v>885337</v>
          </cell>
          <cell r="P86">
            <v>919935</v>
          </cell>
          <cell r="Q86">
            <v>951000</v>
          </cell>
          <cell r="R86">
            <v>979199</v>
          </cell>
          <cell r="S86">
            <v>1004931</v>
          </cell>
          <cell r="T86">
            <v>1028433</v>
          </cell>
          <cell r="U86">
            <v>1049868</v>
          </cell>
          <cell r="V86">
            <v>1069516</v>
          </cell>
          <cell r="W86">
            <v>1087350</v>
          </cell>
          <cell r="X86">
            <v>113638</v>
          </cell>
          <cell r="Y86">
            <v>109488</v>
          </cell>
          <cell r="Z86">
            <v>105815</v>
          </cell>
          <cell r="AA86">
            <v>102374</v>
          </cell>
          <cell r="AB86">
            <v>99658</v>
          </cell>
          <cell r="AC86">
            <v>96797</v>
          </cell>
          <cell r="AD86">
            <v>94070</v>
          </cell>
          <cell r="AE86">
            <v>91547</v>
          </cell>
          <cell r="AF86">
            <v>89461</v>
          </cell>
          <cell r="AG86">
            <v>87781</v>
          </cell>
          <cell r="AH86">
            <v>86564</v>
          </cell>
          <cell r="AI86">
            <v>28647</v>
          </cell>
          <cell r="AJ86">
            <v>31289</v>
          </cell>
          <cell r="AK86">
            <v>33678</v>
          </cell>
          <cell r="AL86">
            <v>33576</v>
          </cell>
          <cell r="AM86">
            <v>32821</v>
          </cell>
          <cell r="AN86">
            <v>31954</v>
          </cell>
          <cell r="AO86">
            <v>30727</v>
          </cell>
          <cell r="AP86">
            <v>29427</v>
          </cell>
          <cell r="AQ86">
            <v>28282</v>
          </cell>
          <cell r="AR86">
            <v>27233</v>
          </cell>
          <cell r="AS86">
            <v>26616</v>
          </cell>
          <cell r="AT86">
            <v>29946</v>
          </cell>
          <cell r="AU86">
            <v>30090</v>
          </cell>
          <cell r="AV86">
            <v>30337</v>
          </cell>
          <cell r="AW86">
            <v>30318</v>
          </cell>
          <cell r="AX86">
            <v>30165</v>
          </cell>
          <cell r="AY86">
            <v>29988</v>
          </cell>
          <cell r="AZ86">
            <v>29795</v>
          </cell>
          <cell r="BA86">
            <v>29587</v>
          </cell>
          <cell r="BB86">
            <v>29365</v>
          </cell>
          <cell r="BC86">
            <v>29135</v>
          </cell>
          <cell r="BD86">
            <v>28910</v>
          </cell>
          <cell r="BE86">
            <v>15223</v>
          </cell>
          <cell r="BF86">
            <v>16046</v>
          </cell>
          <cell r="BG86">
            <v>16845</v>
          </cell>
          <cell r="BH86">
            <v>16845</v>
          </cell>
          <cell r="BI86">
            <v>16845</v>
          </cell>
          <cell r="BJ86">
            <v>16845</v>
          </cell>
          <cell r="BK86">
            <v>16845</v>
          </cell>
          <cell r="BL86">
            <v>16845</v>
          </cell>
          <cell r="BM86">
            <v>16845</v>
          </cell>
          <cell r="BN86">
            <v>16845</v>
          </cell>
          <cell r="BO86">
            <v>16845</v>
          </cell>
        </row>
        <row r="87">
          <cell r="A87" t="str">
            <v>Indonesia</v>
          </cell>
          <cell r="B87">
            <v>719003</v>
          </cell>
          <cell r="C87">
            <v>769149</v>
          </cell>
          <cell r="D87">
            <v>822640</v>
          </cell>
          <cell r="E87">
            <v>879546</v>
          </cell>
          <cell r="F87">
            <v>940083</v>
          </cell>
          <cell r="G87">
            <v>1004199</v>
          </cell>
          <cell r="H87">
            <v>1064847</v>
          </cell>
          <cell r="I87">
            <v>1121765</v>
          </cell>
          <cell r="J87">
            <v>1174722</v>
          </cell>
          <cell r="K87">
            <v>1223511</v>
          </cell>
          <cell r="L87">
            <v>1268088</v>
          </cell>
          <cell r="M87">
            <v>42909</v>
          </cell>
          <cell r="N87">
            <v>46817</v>
          </cell>
          <cell r="O87">
            <v>50985</v>
          </cell>
          <cell r="P87">
            <v>55422</v>
          </cell>
          <cell r="Q87">
            <v>59989</v>
          </cell>
          <cell r="R87">
            <v>64630</v>
          </cell>
          <cell r="S87">
            <v>69188</v>
          </cell>
          <cell r="T87">
            <v>73849</v>
          </cell>
          <cell r="U87">
            <v>78474</v>
          </cell>
          <cell r="V87">
            <v>82943</v>
          </cell>
          <cell r="W87">
            <v>87178</v>
          </cell>
          <cell r="X87">
            <v>21421</v>
          </cell>
          <cell r="Y87">
            <v>22935</v>
          </cell>
          <cell r="Z87">
            <v>24398</v>
          </cell>
          <cell r="AA87">
            <v>25792</v>
          </cell>
          <cell r="AB87">
            <v>27096</v>
          </cell>
          <cell r="AC87">
            <v>28307</v>
          </cell>
          <cell r="AD87">
            <v>29374</v>
          </cell>
          <cell r="AE87">
            <v>30287</v>
          </cell>
          <cell r="AF87">
            <v>31071</v>
          </cell>
          <cell r="AG87">
            <v>31763</v>
          </cell>
          <cell r="AH87">
            <v>32518</v>
          </cell>
          <cell r="AI87">
            <v>1123</v>
          </cell>
          <cell r="AJ87">
            <v>1078</v>
          </cell>
          <cell r="AK87">
            <v>1038</v>
          </cell>
          <cell r="AL87">
            <v>1004</v>
          </cell>
          <cell r="AM87">
            <v>971</v>
          </cell>
          <cell r="AN87">
            <v>966</v>
          </cell>
          <cell r="AO87">
            <v>983</v>
          </cell>
          <cell r="AP87">
            <v>994</v>
          </cell>
          <cell r="AQ87">
            <v>997</v>
          </cell>
          <cell r="AR87">
            <v>997</v>
          </cell>
          <cell r="AS87">
            <v>998</v>
          </cell>
          <cell r="AT87">
            <v>12377</v>
          </cell>
          <cell r="AU87">
            <v>12776</v>
          </cell>
          <cell r="AV87">
            <v>13162</v>
          </cell>
          <cell r="AW87">
            <v>13553</v>
          </cell>
          <cell r="AX87">
            <v>13962</v>
          </cell>
          <cell r="AY87">
            <v>14404</v>
          </cell>
          <cell r="AZ87">
            <v>14839</v>
          </cell>
          <cell r="BA87">
            <v>15225</v>
          </cell>
          <cell r="BB87">
            <v>15561</v>
          </cell>
          <cell r="BC87">
            <v>15825</v>
          </cell>
          <cell r="BD87">
            <v>16022</v>
          </cell>
          <cell r="BE87">
            <v>1528</v>
          </cell>
          <cell r="BF87">
            <v>1688</v>
          </cell>
          <cell r="BG87">
            <v>1688</v>
          </cell>
          <cell r="BH87">
            <v>1688</v>
          </cell>
          <cell r="BI87">
            <v>1688</v>
          </cell>
          <cell r="BJ87">
            <v>1688</v>
          </cell>
          <cell r="BK87">
            <v>1688</v>
          </cell>
          <cell r="BL87">
            <v>1688</v>
          </cell>
          <cell r="BM87">
            <v>1688</v>
          </cell>
          <cell r="BN87">
            <v>1688</v>
          </cell>
          <cell r="BO87">
            <v>1688</v>
          </cell>
        </row>
        <row r="88">
          <cell r="A88" t="str">
            <v>Iran (Islamic Republic of)</v>
          </cell>
          <cell r="B88">
            <v>87081</v>
          </cell>
          <cell r="C88">
            <v>88395</v>
          </cell>
          <cell r="D88">
            <v>89271</v>
          </cell>
          <cell r="E88">
            <v>89960</v>
          </cell>
          <cell r="F88">
            <v>90676</v>
          </cell>
          <cell r="G88">
            <v>91408</v>
          </cell>
          <cell r="H88">
            <v>91998</v>
          </cell>
          <cell r="I88">
            <v>92401</v>
          </cell>
          <cell r="J88">
            <v>92688</v>
          </cell>
          <cell r="K88">
            <v>92912</v>
          </cell>
          <cell r="L88">
            <v>93110</v>
          </cell>
          <cell r="M88">
            <v>3600</v>
          </cell>
          <cell r="N88">
            <v>4438</v>
          </cell>
          <cell r="O88">
            <v>5379</v>
          </cell>
          <cell r="P88">
            <v>6473</v>
          </cell>
          <cell r="Q88">
            <v>7610</v>
          </cell>
          <cell r="R88">
            <v>8948</v>
          </cell>
          <cell r="S88">
            <v>9149</v>
          </cell>
          <cell r="T88">
            <v>9292</v>
          </cell>
          <cell r="U88">
            <v>9394</v>
          </cell>
          <cell r="V88">
            <v>9468</v>
          </cell>
          <cell r="W88">
            <v>9524</v>
          </cell>
          <cell r="X88">
            <v>2384</v>
          </cell>
          <cell r="Y88">
            <v>2596</v>
          </cell>
          <cell r="Z88">
            <v>2804</v>
          </cell>
          <cell r="AA88">
            <v>3013</v>
          </cell>
          <cell r="AB88">
            <v>3235</v>
          </cell>
          <cell r="AC88">
            <v>3473</v>
          </cell>
          <cell r="AD88">
            <v>3772</v>
          </cell>
          <cell r="AE88">
            <v>4064</v>
          </cell>
          <cell r="AF88">
            <v>4293</v>
          </cell>
          <cell r="AG88">
            <v>4482</v>
          </cell>
          <cell r="AH88">
            <v>4628</v>
          </cell>
          <cell r="AI88">
            <v>443</v>
          </cell>
          <cell r="AJ88">
            <v>598</v>
          </cell>
          <cell r="AK88">
            <v>792</v>
          </cell>
          <cell r="AL88">
            <v>1035</v>
          </cell>
          <cell r="AM88">
            <v>1315</v>
          </cell>
          <cell r="AN88">
            <v>1764</v>
          </cell>
          <cell r="AO88">
            <v>1983</v>
          </cell>
          <cell r="AP88">
            <v>2254</v>
          </cell>
          <cell r="AQ88">
            <v>2507</v>
          </cell>
          <cell r="AR88">
            <v>2717</v>
          </cell>
          <cell r="AS88">
            <v>2893</v>
          </cell>
          <cell r="AT88">
            <v>1002</v>
          </cell>
          <cell r="AU88">
            <v>1008</v>
          </cell>
          <cell r="AV88">
            <v>1008</v>
          </cell>
          <cell r="AW88">
            <v>1010</v>
          </cell>
          <cell r="AX88">
            <v>1011</v>
          </cell>
          <cell r="AY88">
            <v>1010</v>
          </cell>
          <cell r="AZ88">
            <v>1004</v>
          </cell>
          <cell r="BA88">
            <v>993</v>
          </cell>
          <cell r="BB88">
            <v>979</v>
          </cell>
          <cell r="BC88">
            <v>965</v>
          </cell>
          <cell r="BD88">
            <v>950</v>
          </cell>
          <cell r="BE88">
            <v>140</v>
          </cell>
          <cell r="BF88">
            <v>145</v>
          </cell>
          <cell r="BG88">
            <v>148</v>
          </cell>
          <cell r="BH88">
            <v>153</v>
          </cell>
          <cell r="BI88">
            <v>156</v>
          </cell>
          <cell r="BJ88">
            <v>161</v>
          </cell>
          <cell r="BK88">
            <v>161</v>
          </cell>
          <cell r="BL88">
            <v>161</v>
          </cell>
          <cell r="BM88">
            <v>161</v>
          </cell>
          <cell r="BN88">
            <v>161</v>
          </cell>
          <cell r="BO88">
            <v>161</v>
          </cell>
        </row>
        <row r="89">
          <cell r="A89" t="str">
            <v>Iraq</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row>
        <row r="90">
          <cell r="A90" t="str">
            <v>Ireland</v>
          </cell>
          <cell r="B90">
            <v>8738</v>
          </cell>
          <cell r="C90">
            <v>9140</v>
          </cell>
          <cell r="D90">
            <v>9541</v>
          </cell>
          <cell r="E90">
            <v>9940</v>
          </cell>
          <cell r="F90">
            <v>10338</v>
          </cell>
          <cell r="G90">
            <v>10735</v>
          </cell>
          <cell r="H90">
            <v>11131</v>
          </cell>
          <cell r="I90">
            <v>11525</v>
          </cell>
          <cell r="J90">
            <v>11919</v>
          </cell>
          <cell r="K90">
            <v>12310</v>
          </cell>
          <cell r="L90">
            <v>12699</v>
          </cell>
          <cell r="M90">
            <v>5604</v>
          </cell>
          <cell r="N90">
            <v>5989</v>
          </cell>
          <cell r="O90">
            <v>6375</v>
          </cell>
          <cell r="P90">
            <v>6760</v>
          </cell>
          <cell r="Q90">
            <v>7145</v>
          </cell>
          <cell r="R90">
            <v>7529</v>
          </cell>
          <cell r="S90">
            <v>7910</v>
          </cell>
          <cell r="T90">
            <v>8290</v>
          </cell>
          <cell r="U90">
            <v>8667</v>
          </cell>
          <cell r="V90">
            <v>9041</v>
          </cell>
          <cell r="W90">
            <v>9414</v>
          </cell>
          <cell r="X90">
            <v>47</v>
          </cell>
          <cell r="Y90">
            <v>58</v>
          </cell>
          <cell r="Z90">
            <v>69</v>
          </cell>
          <cell r="AA90">
            <v>79</v>
          </cell>
          <cell r="AB90">
            <v>90</v>
          </cell>
          <cell r="AC90">
            <v>98</v>
          </cell>
          <cell r="AD90">
            <v>108</v>
          </cell>
          <cell r="AE90">
            <v>118</v>
          </cell>
          <cell r="AF90">
            <v>127</v>
          </cell>
          <cell r="AG90">
            <v>134</v>
          </cell>
          <cell r="AH90">
            <v>141</v>
          </cell>
          <cell r="AI90">
            <v>18</v>
          </cell>
          <cell r="AJ90">
            <v>20</v>
          </cell>
          <cell r="AK90">
            <v>31</v>
          </cell>
          <cell r="AL90">
            <v>37</v>
          </cell>
          <cell r="AM90">
            <v>38</v>
          </cell>
          <cell r="AN90">
            <v>53</v>
          </cell>
          <cell r="AO90">
            <v>60</v>
          </cell>
          <cell r="AP90">
            <v>69</v>
          </cell>
          <cell r="AQ90">
            <v>79</v>
          </cell>
          <cell r="AR90">
            <v>89</v>
          </cell>
          <cell r="AS90">
            <v>98</v>
          </cell>
          <cell r="AT90">
            <v>100</v>
          </cell>
          <cell r="AU90">
            <v>101</v>
          </cell>
          <cell r="AV90">
            <v>102</v>
          </cell>
          <cell r="AW90">
            <v>102</v>
          </cell>
          <cell r="AX90">
            <v>102</v>
          </cell>
          <cell r="AY90">
            <v>101</v>
          </cell>
          <cell r="AZ90">
            <v>101</v>
          </cell>
          <cell r="BA90">
            <v>100</v>
          </cell>
          <cell r="BB90">
            <v>99</v>
          </cell>
          <cell r="BC90">
            <v>98</v>
          </cell>
          <cell r="BD90">
            <v>98</v>
          </cell>
          <cell r="BE90">
            <v>94</v>
          </cell>
          <cell r="BF90">
            <v>95</v>
          </cell>
          <cell r="BG90">
            <v>95</v>
          </cell>
          <cell r="BH90">
            <v>95</v>
          </cell>
          <cell r="BI90">
            <v>95</v>
          </cell>
          <cell r="BJ90">
            <v>94</v>
          </cell>
          <cell r="BK90">
            <v>94</v>
          </cell>
          <cell r="BL90">
            <v>94</v>
          </cell>
          <cell r="BM90">
            <v>94</v>
          </cell>
          <cell r="BN90">
            <v>94</v>
          </cell>
          <cell r="BO90">
            <v>94</v>
          </cell>
        </row>
        <row r="91">
          <cell r="A91" t="str">
            <v>Israel</v>
          </cell>
          <cell r="B91">
            <v>10300</v>
          </cell>
          <cell r="C91">
            <v>10787</v>
          </cell>
          <cell r="D91">
            <v>11284</v>
          </cell>
          <cell r="E91">
            <v>11784</v>
          </cell>
          <cell r="F91">
            <v>12287</v>
          </cell>
          <cell r="G91">
            <v>12789</v>
          </cell>
          <cell r="H91">
            <v>13296</v>
          </cell>
          <cell r="I91">
            <v>13806</v>
          </cell>
          <cell r="J91">
            <v>14321</v>
          </cell>
          <cell r="K91">
            <v>14840</v>
          </cell>
          <cell r="L91">
            <v>15365</v>
          </cell>
          <cell r="M91">
            <v>6534</v>
          </cell>
          <cell r="N91">
            <v>6963</v>
          </cell>
          <cell r="O91">
            <v>7401</v>
          </cell>
          <cell r="P91">
            <v>7841</v>
          </cell>
          <cell r="Q91">
            <v>8284</v>
          </cell>
          <cell r="R91">
            <v>8727</v>
          </cell>
          <cell r="S91">
            <v>9172</v>
          </cell>
          <cell r="T91">
            <v>9620</v>
          </cell>
          <cell r="U91">
            <v>10070</v>
          </cell>
          <cell r="V91">
            <v>10523</v>
          </cell>
          <cell r="W91">
            <v>10981</v>
          </cell>
          <cell r="X91">
            <v>133</v>
          </cell>
          <cell r="Y91">
            <v>167</v>
          </cell>
          <cell r="Z91">
            <v>199</v>
          </cell>
          <cell r="AA91">
            <v>231</v>
          </cell>
          <cell r="AB91">
            <v>262</v>
          </cell>
          <cell r="AC91">
            <v>293</v>
          </cell>
          <cell r="AD91">
            <v>323</v>
          </cell>
          <cell r="AE91">
            <v>352</v>
          </cell>
          <cell r="AF91">
            <v>381</v>
          </cell>
          <cell r="AG91">
            <v>408</v>
          </cell>
          <cell r="AH91">
            <v>434</v>
          </cell>
          <cell r="AI91">
            <v>45</v>
          </cell>
          <cell r="AJ91">
            <v>69</v>
          </cell>
          <cell r="AK91">
            <v>100</v>
          </cell>
          <cell r="AL91">
            <v>132</v>
          </cell>
          <cell r="AM91">
            <v>165</v>
          </cell>
          <cell r="AN91">
            <v>198</v>
          </cell>
          <cell r="AO91">
            <v>231</v>
          </cell>
          <cell r="AP91">
            <v>265</v>
          </cell>
          <cell r="AQ91">
            <v>299</v>
          </cell>
          <cell r="AR91">
            <v>334</v>
          </cell>
          <cell r="AS91">
            <v>367</v>
          </cell>
          <cell r="AT91">
            <v>159</v>
          </cell>
          <cell r="AU91">
            <v>161</v>
          </cell>
          <cell r="AV91">
            <v>162</v>
          </cell>
          <cell r="AW91">
            <v>163</v>
          </cell>
          <cell r="AX91">
            <v>164</v>
          </cell>
          <cell r="AY91">
            <v>165</v>
          </cell>
          <cell r="AZ91">
            <v>165</v>
          </cell>
          <cell r="BA91">
            <v>166</v>
          </cell>
          <cell r="BB91">
            <v>167</v>
          </cell>
          <cell r="BC91">
            <v>167</v>
          </cell>
          <cell r="BD91">
            <v>168</v>
          </cell>
          <cell r="BE91">
            <v>129</v>
          </cell>
          <cell r="BF91">
            <v>130</v>
          </cell>
          <cell r="BG91">
            <v>130</v>
          </cell>
          <cell r="BH91">
            <v>130</v>
          </cell>
          <cell r="BI91">
            <v>130</v>
          </cell>
          <cell r="BJ91">
            <v>131</v>
          </cell>
          <cell r="BK91">
            <v>131</v>
          </cell>
          <cell r="BL91">
            <v>131</v>
          </cell>
          <cell r="BM91">
            <v>131</v>
          </cell>
          <cell r="BN91">
            <v>131</v>
          </cell>
          <cell r="BO91">
            <v>131</v>
          </cell>
        </row>
        <row r="92">
          <cell r="A92" t="str">
            <v>Italy</v>
          </cell>
          <cell r="B92">
            <v>157635</v>
          </cell>
          <cell r="C92">
            <v>159522</v>
          </cell>
          <cell r="D92">
            <v>161184</v>
          </cell>
          <cell r="E92">
            <v>162622</v>
          </cell>
          <cell r="F92">
            <v>163841</v>
          </cell>
          <cell r="G92">
            <v>164864</v>
          </cell>
          <cell r="H92">
            <v>165792</v>
          </cell>
          <cell r="I92">
            <v>166630</v>
          </cell>
          <cell r="J92">
            <v>167382</v>
          </cell>
          <cell r="K92">
            <v>168057</v>
          </cell>
          <cell r="L92">
            <v>168650</v>
          </cell>
          <cell r="M92">
            <v>119870</v>
          </cell>
          <cell r="N92">
            <v>123294</v>
          </cell>
          <cell r="O92">
            <v>126398</v>
          </cell>
          <cell r="P92">
            <v>129192</v>
          </cell>
          <cell r="Q92">
            <v>131688</v>
          </cell>
          <cell r="R92">
            <v>133899</v>
          </cell>
          <cell r="S92">
            <v>135848</v>
          </cell>
          <cell r="T92">
            <v>137566</v>
          </cell>
          <cell r="U92">
            <v>139082</v>
          </cell>
          <cell r="V92">
            <v>140415</v>
          </cell>
          <cell r="W92">
            <v>141591</v>
          </cell>
          <cell r="X92">
            <v>635</v>
          </cell>
          <cell r="Y92">
            <v>692</v>
          </cell>
          <cell r="Z92">
            <v>745</v>
          </cell>
          <cell r="AA92">
            <v>797</v>
          </cell>
          <cell r="AB92">
            <v>843</v>
          </cell>
          <cell r="AC92">
            <v>887</v>
          </cell>
          <cell r="AD92">
            <v>927</v>
          </cell>
          <cell r="AE92">
            <v>963</v>
          </cell>
          <cell r="AF92">
            <v>995</v>
          </cell>
          <cell r="AG92">
            <v>1016</v>
          </cell>
          <cell r="AH92">
            <v>1034</v>
          </cell>
          <cell r="AI92">
            <v>237</v>
          </cell>
          <cell r="AJ92">
            <v>304</v>
          </cell>
          <cell r="AK92">
            <v>380</v>
          </cell>
          <cell r="AL92">
            <v>453</v>
          </cell>
          <cell r="AM92">
            <v>524</v>
          </cell>
          <cell r="AN92">
            <v>591</v>
          </cell>
          <cell r="AO92">
            <v>655</v>
          </cell>
          <cell r="AP92">
            <v>715</v>
          </cell>
          <cell r="AQ92">
            <v>769</v>
          </cell>
          <cell r="AR92">
            <v>816</v>
          </cell>
          <cell r="AS92">
            <v>849</v>
          </cell>
          <cell r="AT92">
            <v>289</v>
          </cell>
          <cell r="AU92">
            <v>280</v>
          </cell>
          <cell r="AV92">
            <v>271</v>
          </cell>
          <cell r="AW92">
            <v>263</v>
          </cell>
          <cell r="AX92">
            <v>254</v>
          </cell>
          <cell r="AY92">
            <v>247</v>
          </cell>
          <cell r="AZ92">
            <v>240</v>
          </cell>
          <cell r="BA92">
            <v>233</v>
          </cell>
          <cell r="BB92">
            <v>227</v>
          </cell>
          <cell r="BC92">
            <v>222</v>
          </cell>
          <cell r="BD92">
            <v>217</v>
          </cell>
          <cell r="BE92">
            <v>167</v>
          </cell>
          <cell r="BF92">
            <v>159</v>
          </cell>
          <cell r="BG92">
            <v>153</v>
          </cell>
          <cell r="BH92">
            <v>147</v>
          </cell>
          <cell r="BI92">
            <v>142</v>
          </cell>
          <cell r="BJ92">
            <v>138</v>
          </cell>
          <cell r="BK92">
            <v>138</v>
          </cell>
          <cell r="BL92">
            <v>138</v>
          </cell>
          <cell r="BM92">
            <v>138</v>
          </cell>
          <cell r="BN92">
            <v>138</v>
          </cell>
          <cell r="BO92">
            <v>138</v>
          </cell>
        </row>
        <row r="93">
          <cell r="A93" t="str">
            <v>Jamaica</v>
          </cell>
          <cell r="B93">
            <v>32369</v>
          </cell>
          <cell r="C93">
            <v>32451</v>
          </cell>
          <cell r="D93">
            <v>32388</v>
          </cell>
          <cell r="E93">
            <v>32220</v>
          </cell>
          <cell r="F93">
            <v>31971</v>
          </cell>
          <cell r="G93">
            <v>31657</v>
          </cell>
          <cell r="H93">
            <v>31303</v>
          </cell>
          <cell r="I93">
            <v>30911</v>
          </cell>
          <cell r="J93">
            <v>30492</v>
          </cell>
          <cell r="K93">
            <v>30070</v>
          </cell>
          <cell r="L93">
            <v>29647</v>
          </cell>
          <cell r="M93">
            <v>15296</v>
          </cell>
          <cell r="N93">
            <v>15969</v>
          </cell>
          <cell r="O93">
            <v>16513</v>
          </cell>
          <cell r="P93">
            <v>16936</v>
          </cell>
          <cell r="Q93">
            <v>17244</v>
          </cell>
          <cell r="R93">
            <v>17443</v>
          </cell>
          <cell r="S93">
            <v>17538</v>
          </cell>
          <cell r="T93">
            <v>17538</v>
          </cell>
          <cell r="U93">
            <v>17463</v>
          </cell>
          <cell r="V93">
            <v>17337</v>
          </cell>
          <cell r="W93">
            <v>17187</v>
          </cell>
          <cell r="X93">
            <v>1509</v>
          </cell>
          <cell r="Y93">
            <v>1439</v>
          </cell>
          <cell r="Z93">
            <v>1365</v>
          </cell>
          <cell r="AA93">
            <v>1284</v>
          </cell>
          <cell r="AB93">
            <v>1199</v>
          </cell>
          <cell r="AC93">
            <v>1121</v>
          </cell>
          <cell r="AD93">
            <v>1047</v>
          </cell>
          <cell r="AE93">
            <v>979</v>
          </cell>
          <cell r="AF93">
            <v>915</v>
          </cell>
          <cell r="AG93">
            <v>845</v>
          </cell>
          <cell r="AH93">
            <v>774</v>
          </cell>
          <cell r="AI93">
            <v>620</v>
          </cell>
          <cell r="AJ93">
            <v>665</v>
          </cell>
          <cell r="AK93">
            <v>688</v>
          </cell>
          <cell r="AL93">
            <v>697</v>
          </cell>
          <cell r="AM93">
            <v>699</v>
          </cell>
          <cell r="AN93">
            <v>697</v>
          </cell>
          <cell r="AO93">
            <v>689</v>
          </cell>
          <cell r="AP93">
            <v>680</v>
          </cell>
          <cell r="AQ93">
            <v>677</v>
          </cell>
          <cell r="AR93">
            <v>673</v>
          </cell>
          <cell r="AS93">
            <v>644</v>
          </cell>
          <cell r="AT93">
            <v>399</v>
          </cell>
          <cell r="AU93">
            <v>386</v>
          </cell>
          <cell r="AV93">
            <v>370</v>
          </cell>
          <cell r="AW93">
            <v>353</v>
          </cell>
          <cell r="AX93">
            <v>335</v>
          </cell>
          <cell r="AY93">
            <v>318</v>
          </cell>
          <cell r="AZ93">
            <v>301</v>
          </cell>
          <cell r="BA93">
            <v>284</v>
          </cell>
          <cell r="BB93">
            <v>269</v>
          </cell>
          <cell r="BC93">
            <v>255</v>
          </cell>
          <cell r="BD93">
            <v>242</v>
          </cell>
          <cell r="BE93">
            <v>363</v>
          </cell>
          <cell r="BF93">
            <v>345</v>
          </cell>
          <cell r="BG93">
            <v>325</v>
          </cell>
          <cell r="BH93">
            <v>306</v>
          </cell>
          <cell r="BI93">
            <v>287</v>
          </cell>
          <cell r="BJ93">
            <v>268</v>
          </cell>
          <cell r="BK93">
            <v>268</v>
          </cell>
          <cell r="BL93">
            <v>268</v>
          </cell>
          <cell r="BM93">
            <v>268</v>
          </cell>
          <cell r="BN93">
            <v>255</v>
          </cell>
          <cell r="BO93">
            <v>242</v>
          </cell>
        </row>
        <row r="94">
          <cell r="A94" t="str">
            <v>Japan</v>
          </cell>
          <cell r="B94">
            <v>28835</v>
          </cell>
          <cell r="C94">
            <v>30152</v>
          </cell>
          <cell r="D94">
            <v>31435</v>
          </cell>
          <cell r="E94">
            <v>32682</v>
          </cell>
          <cell r="F94">
            <v>33894</v>
          </cell>
          <cell r="G94">
            <v>35069</v>
          </cell>
          <cell r="H94">
            <v>36209</v>
          </cell>
          <cell r="I94">
            <v>37310</v>
          </cell>
          <cell r="J94">
            <v>38370</v>
          </cell>
          <cell r="K94">
            <v>39392</v>
          </cell>
          <cell r="L94">
            <v>40365</v>
          </cell>
          <cell r="M94">
            <v>17600</v>
          </cell>
          <cell r="N94">
            <v>18902</v>
          </cell>
          <cell r="O94">
            <v>20190</v>
          </cell>
          <cell r="P94">
            <v>21460</v>
          </cell>
          <cell r="Q94">
            <v>22708</v>
          </cell>
          <cell r="R94">
            <v>23930</v>
          </cell>
          <cell r="S94">
            <v>25124</v>
          </cell>
          <cell r="T94">
            <v>26288</v>
          </cell>
          <cell r="U94">
            <v>27420</v>
          </cell>
          <cell r="V94">
            <v>28518</v>
          </cell>
          <cell r="W94">
            <v>29580</v>
          </cell>
          <cell r="X94">
            <v>55</v>
          </cell>
          <cell r="Y94">
            <v>58</v>
          </cell>
          <cell r="Z94">
            <v>61</v>
          </cell>
          <cell r="AA94">
            <v>63</v>
          </cell>
          <cell r="AB94">
            <v>65</v>
          </cell>
          <cell r="AC94">
            <v>68</v>
          </cell>
          <cell r="AD94">
            <v>70</v>
          </cell>
          <cell r="AE94">
            <v>72</v>
          </cell>
          <cell r="AF94">
            <v>74</v>
          </cell>
          <cell r="AG94">
            <v>72</v>
          </cell>
          <cell r="AH94">
            <v>74</v>
          </cell>
          <cell r="AI94">
            <v>0</v>
          </cell>
          <cell r="AJ94">
            <v>0</v>
          </cell>
          <cell r="AK94">
            <v>0</v>
          </cell>
          <cell r="AL94">
            <v>0</v>
          </cell>
          <cell r="AM94">
            <v>0</v>
          </cell>
          <cell r="AN94">
            <v>0</v>
          </cell>
          <cell r="AO94">
            <v>0</v>
          </cell>
          <cell r="AP94">
            <v>0</v>
          </cell>
          <cell r="AQ94">
            <v>0</v>
          </cell>
          <cell r="AR94">
            <v>0</v>
          </cell>
          <cell r="AS94">
            <v>0</v>
          </cell>
          <cell r="AT94">
            <v>103</v>
          </cell>
          <cell r="AU94">
            <v>105</v>
          </cell>
          <cell r="AV94">
            <v>107</v>
          </cell>
          <cell r="AW94">
            <v>109</v>
          </cell>
          <cell r="AX94">
            <v>110</v>
          </cell>
          <cell r="AY94">
            <v>111</v>
          </cell>
          <cell r="AZ94">
            <v>112</v>
          </cell>
          <cell r="BA94">
            <v>112</v>
          </cell>
          <cell r="BB94">
            <v>113</v>
          </cell>
          <cell r="BC94">
            <v>113</v>
          </cell>
          <cell r="BD94">
            <v>113</v>
          </cell>
          <cell r="BE94">
            <v>97</v>
          </cell>
          <cell r="BF94">
            <v>99</v>
          </cell>
          <cell r="BG94">
            <v>100</v>
          </cell>
          <cell r="BH94">
            <v>102</v>
          </cell>
          <cell r="BI94">
            <v>103</v>
          </cell>
          <cell r="BJ94">
            <v>104</v>
          </cell>
          <cell r="BK94">
            <v>104</v>
          </cell>
          <cell r="BL94">
            <v>104</v>
          </cell>
          <cell r="BM94">
            <v>104</v>
          </cell>
          <cell r="BN94">
            <v>104</v>
          </cell>
          <cell r="BO94">
            <v>104</v>
          </cell>
        </row>
        <row r="95">
          <cell r="A95" t="str">
            <v>Jordan</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row>
        <row r="96">
          <cell r="A96" t="str">
            <v>Kazakhstan</v>
          </cell>
          <cell r="B96">
            <v>24325</v>
          </cell>
          <cell r="C96">
            <v>25384</v>
          </cell>
          <cell r="D96">
            <v>26452</v>
          </cell>
          <cell r="E96">
            <v>27528</v>
          </cell>
          <cell r="F96">
            <v>28602</v>
          </cell>
          <cell r="G96">
            <v>29695</v>
          </cell>
          <cell r="H96">
            <v>30723</v>
          </cell>
          <cell r="I96">
            <v>31682</v>
          </cell>
          <cell r="J96">
            <v>32577</v>
          </cell>
          <cell r="K96">
            <v>33413</v>
          </cell>
          <cell r="L96">
            <v>34197</v>
          </cell>
          <cell r="M96">
            <v>4893</v>
          </cell>
          <cell r="N96">
            <v>5556</v>
          </cell>
          <cell r="O96">
            <v>6195</v>
          </cell>
          <cell r="P96">
            <v>6781</v>
          </cell>
          <cell r="Q96">
            <v>7327</v>
          </cell>
          <cell r="R96">
            <v>7879</v>
          </cell>
          <cell r="S96">
            <v>8295</v>
          </cell>
          <cell r="T96">
            <v>8691</v>
          </cell>
          <cell r="U96">
            <v>9065</v>
          </cell>
          <cell r="V96">
            <v>9416</v>
          </cell>
          <cell r="W96">
            <v>9749</v>
          </cell>
          <cell r="X96">
            <v>876</v>
          </cell>
          <cell r="Y96">
            <v>958</v>
          </cell>
          <cell r="Z96">
            <v>1000</v>
          </cell>
          <cell r="AA96">
            <v>1032</v>
          </cell>
          <cell r="AB96">
            <v>1041</v>
          </cell>
          <cell r="AC96">
            <v>1031</v>
          </cell>
          <cell r="AD96">
            <v>1017</v>
          </cell>
          <cell r="AE96">
            <v>993</v>
          </cell>
          <cell r="AF96">
            <v>959</v>
          </cell>
          <cell r="AG96">
            <v>917</v>
          </cell>
          <cell r="AH96">
            <v>868</v>
          </cell>
          <cell r="AI96">
            <v>393</v>
          </cell>
          <cell r="AJ96">
            <v>449</v>
          </cell>
          <cell r="AK96">
            <v>503</v>
          </cell>
          <cell r="AL96">
            <v>529</v>
          </cell>
          <cell r="AM96">
            <v>553</v>
          </cell>
          <cell r="AN96">
            <v>578</v>
          </cell>
          <cell r="AO96">
            <v>572</v>
          </cell>
          <cell r="AP96">
            <v>564</v>
          </cell>
          <cell r="AQ96">
            <v>554</v>
          </cell>
          <cell r="AR96">
            <v>540</v>
          </cell>
          <cell r="AS96">
            <v>519</v>
          </cell>
          <cell r="AT96">
            <v>607</v>
          </cell>
          <cell r="AU96">
            <v>615</v>
          </cell>
          <cell r="AV96">
            <v>619</v>
          </cell>
          <cell r="AW96">
            <v>619</v>
          </cell>
          <cell r="AX96">
            <v>616</v>
          </cell>
          <cell r="AY96">
            <v>610</v>
          </cell>
          <cell r="AZ96">
            <v>602</v>
          </cell>
          <cell r="BA96">
            <v>591</v>
          </cell>
          <cell r="BB96">
            <v>578</v>
          </cell>
          <cell r="BC96">
            <v>566</v>
          </cell>
          <cell r="BD96">
            <v>555</v>
          </cell>
          <cell r="BE96">
            <v>393</v>
          </cell>
          <cell r="BF96">
            <v>428</v>
          </cell>
          <cell r="BG96">
            <v>463</v>
          </cell>
          <cell r="BH96">
            <v>498</v>
          </cell>
          <cell r="BI96">
            <v>533</v>
          </cell>
          <cell r="BJ96">
            <v>568</v>
          </cell>
          <cell r="BK96">
            <v>568</v>
          </cell>
          <cell r="BL96">
            <v>568</v>
          </cell>
          <cell r="BM96">
            <v>568</v>
          </cell>
          <cell r="BN96">
            <v>566</v>
          </cell>
          <cell r="BO96">
            <v>555</v>
          </cell>
        </row>
        <row r="97">
          <cell r="A97" t="str">
            <v>Kenya</v>
          </cell>
          <cell r="B97">
            <v>1682701</v>
          </cell>
          <cell r="C97">
            <v>1701040</v>
          </cell>
          <cell r="D97">
            <v>1710316</v>
          </cell>
          <cell r="E97">
            <v>1711298</v>
          </cell>
          <cell r="F97">
            <v>1710440</v>
          </cell>
          <cell r="G97">
            <v>1713384</v>
          </cell>
          <cell r="H97">
            <v>1719978</v>
          </cell>
          <cell r="I97">
            <v>1727650</v>
          </cell>
          <cell r="J97">
            <v>1735970</v>
          </cell>
          <cell r="K97">
            <v>1746109</v>
          </cell>
          <cell r="L97">
            <v>1757758</v>
          </cell>
          <cell r="M97">
            <v>518816</v>
          </cell>
          <cell r="N97">
            <v>557222</v>
          </cell>
          <cell r="O97">
            <v>588126</v>
          </cell>
          <cell r="P97">
            <v>614704</v>
          </cell>
          <cell r="Q97">
            <v>640310</v>
          </cell>
          <cell r="R97">
            <v>668076</v>
          </cell>
          <cell r="S97">
            <v>674228</v>
          </cell>
          <cell r="T97">
            <v>679438</v>
          </cell>
          <cell r="U97">
            <v>683506</v>
          </cell>
          <cell r="V97">
            <v>687300</v>
          </cell>
          <cell r="W97">
            <v>690567</v>
          </cell>
          <cell r="X97">
            <v>224727</v>
          </cell>
          <cell r="Y97">
            <v>215727</v>
          </cell>
          <cell r="Z97">
            <v>206584</v>
          </cell>
          <cell r="AA97">
            <v>197956</v>
          </cell>
          <cell r="AB97">
            <v>190045</v>
          </cell>
          <cell r="AC97">
            <v>181216</v>
          </cell>
          <cell r="AD97">
            <v>172289</v>
          </cell>
          <cell r="AE97">
            <v>162681</v>
          </cell>
          <cell r="AF97">
            <v>153138</v>
          </cell>
          <cell r="AG97">
            <v>143367</v>
          </cell>
          <cell r="AH97">
            <v>134070</v>
          </cell>
          <cell r="AI97">
            <v>52328</v>
          </cell>
          <cell r="AJ97">
            <v>58523</v>
          </cell>
          <cell r="AK97">
            <v>63908</v>
          </cell>
          <cell r="AL97">
            <v>67848</v>
          </cell>
          <cell r="AM97">
            <v>70893</v>
          </cell>
          <cell r="AN97">
            <v>72410</v>
          </cell>
          <cell r="AO97">
            <v>68925</v>
          </cell>
          <cell r="AP97">
            <v>65243</v>
          </cell>
          <cell r="AQ97">
            <v>61493</v>
          </cell>
          <cell r="AR97">
            <v>57222</v>
          </cell>
          <cell r="AS97">
            <v>53586</v>
          </cell>
          <cell r="AT97">
            <v>91205</v>
          </cell>
          <cell r="AU97">
            <v>88866</v>
          </cell>
          <cell r="AV97">
            <v>86228</v>
          </cell>
          <cell r="AW97">
            <v>83466</v>
          </cell>
          <cell r="AX97">
            <v>80649</v>
          </cell>
          <cell r="AY97">
            <v>78073</v>
          </cell>
          <cell r="AZ97">
            <v>75784</v>
          </cell>
          <cell r="BA97">
            <v>73754</v>
          </cell>
          <cell r="BB97">
            <v>72035</v>
          </cell>
          <cell r="BC97">
            <v>70652</v>
          </cell>
          <cell r="BD97">
            <v>69621</v>
          </cell>
          <cell r="BE97">
            <v>56004</v>
          </cell>
          <cell r="BF97">
            <v>54779</v>
          </cell>
          <cell r="BG97">
            <v>54754</v>
          </cell>
          <cell r="BH97">
            <v>54732</v>
          </cell>
          <cell r="BI97">
            <v>54708</v>
          </cell>
          <cell r="BJ97">
            <v>54686</v>
          </cell>
          <cell r="BK97">
            <v>54686</v>
          </cell>
          <cell r="BL97">
            <v>54686</v>
          </cell>
          <cell r="BM97">
            <v>54686</v>
          </cell>
          <cell r="BN97">
            <v>54686</v>
          </cell>
          <cell r="BO97">
            <v>54686</v>
          </cell>
        </row>
        <row r="98">
          <cell r="A98" t="str">
            <v>Kiribati</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row>
        <row r="99">
          <cell r="A99" t="str">
            <v>Kuwait</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row>
        <row r="100">
          <cell r="A100" t="str">
            <v>Kyrgyzstan</v>
          </cell>
          <cell r="B100">
            <v>10242</v>
          </cell>
          <cell r="C100">
            <v>10924</v>
          </cell>
          <cell r="D100">
            <v>11607</v>
          </cell>
          <cell r="E100">
            <v>12274</v>
          </cell>
          <cell r="F100">
            <v>12909</v>
          </cell>
          <cell r="G100">
            <v>13493</v>
          </cell>
          <cell r="H100">
            <v>14037</v>
          </cell>
          <cell r="I100">
            <v>14539</v>
          </cell>
          <cell r="J100">
            <v>15004</v>
          </cell>
          <cell r="K100">
            <v>15437</v>
          </cell>
          <cell r="L100">
            <v>15846</v>
          </cell>
          <cell r="M100">
            <v>1201</v>
          </cell>
          <cell r="N100">
            <v>1429</v>
          </cell>
          <cell r="O100">
            <v>1667</v>
          </cell>
          <cell r="P100">
            <v>1912</v>
          </cell>
          <cell r="Q100">
            <v>2162</v>
          </cell>
          <cell r="R100">
            <v>2394</v>
          </cell>
          <cell r="S100">
            <v>2557</v>
          </cell>
          <cell r="T100">
            <v>2712</v>
          </cell>
          <cell r="U100">
            <v>2858</v>
          </cell>
          <cell r="V100">
            <v>2997</v>
          </cell>
          <cell r="W100">
            <v>3129</v>
          </cell>
          <cell r="X100">
            <v>193</v>
          </cell>
          <cell r="Y100">
            <v>210</v>
          </cell>
          <cell r="Z100">
            <v>225</v>
          </cell>
          <cell r="AA100">
            <v>239</v>
          </cell>
          <cell r="AB100">
            <v>251</v>
          </cell>
          <cell r="AC100">
            <v>261</v>
          </cell>
          <cell r="AD100">
            <v>268</v>
          </cell>
          <cell r="AE100">
            <v>271</v>
          </cell>
          <cell r="AF100">
            <v>270</v>
          </cell>
          <cell r="AG100">
            <v>268</v>
          </cell>
          <cell r="AH100">
            <v>262</v>
          </cell>
          <cell r="AI100">
            <v>117</v>
          </cell>
          <cell r="AJ100">
            <v>134</v>
          </cell>
          <cell r="AK100">
            <v>152</v>
          </cell>
          <cell r="AL100">
            <v>169</v>
          </cell>
          <cell r="AM100">
            <v>186</v>
          </cell>
          <cell r="AN100">
            <v>203</v>
          </cell>
          <cell r="AO100">
            <v>216</v>
          </cell>
          <cell r="AP100">
            <v>226</v>
          </cell>
          <cell r="AQ100">
            <v>233</v>
          </cell>
          <cell r="AR100">
            <v>237</v>
          </cell>
          <cell r="AS100">
            <v>236</v>
          </cell>
          <cell r="AT100">
            <v>145</v>
          </cell>
          <cell r="AU100">
            <v>145</v>
          </cell>
          <cell r="AV100">
            <v>143</v>
          </cell>
          <cell r="AW100">
            <v>142</v>
          </cell>
          <cell r="AX100">
            <v>140</v>
          </cell>
          <cell r="AY100">
            <v>137</v>
          </cell>
          <cell r="AZ100">
            <v>134</v>
          </cell>
          <cell r="BA100">
            <v>130</v>
          </cell>
          <cell r="BB100">
            <v>126</v>
          </cell>
          <cell r="BC100">
            <v>122</v>
          </cell>
          <cell r="BD100">
            <v>118</v>
          </cell>
          <cell r="BE100">
            <v>145</v>
          </cell>
          <cell r="BF100">
            <v>145</v>
          </cell>
          <cell r="BG100">
            <v>143</v>
          </cell>
          <cell r="BH100">
            <v>142</v>
          </cell>
          <cell r="BI100">
            <v>140</v>
          </cell>
          <cell r="BJ100">
            <v>137</v>
          </cell>
          <cell r="BK100">
            <v>134</v>
          </cell>
          <cell r="BL100">
            <v>130</v>
          </cell>
          <cell r="BM100">
            <v>126</v>
          </cell>
          <cell r="BN100">
            <v>122</v>
          </cell>
          <cell r="BO100">
            <v>118</v>
          </cell>
        </row>
        <row r="101">
          <cell r="A101" t="str">
            <v>Lao People's Democratic Republic</v>
          </cell>
          <cell r="B101">
            <v>8061</v>
          </cell>
          <cell r="C101">
            <v>8445</v>
          </cell>
          <cell r="D101">
            <v>8818</v>
          </cell>
          <cell r="E101">
            <v>9182</v>
          </cell>
          <cell r="F101">
            <v>9539</v>
          </cell>
          <cell r="G101">
            <v>9891</v>
          </cell>
          <cell r="H101">
            <v>10244</v>
          </cell>
          <cell r="I101">
            <v>10601</v>
          </cell>
          <cell r="J101">
            <v>10960</v>
          </cell>
          <cell r="K101">
            <v>11317</v>
          </cell>
          <cell r="L101">
            <v>11674</v>
          </cell>
          <cell r="M101">
            <v>3946</v>
          </cell>
          <cell r="N101">
            <v>4267</v>
          </cell>
          <cell r="O101">
            <v>4578</v>
          </cell>
          <cell r="P101">
            <v>4877</v>
          </cell>
          <cell r="Q101">
            <v>5167</v>
          </cell>
          <cell r="R101">
            <v>5449</v>
          </cell>
          <cell r="S101">
            <v>5751</v>
          </cell>
          <cell r="T101">
            <v>6049</v>
          </cell>
          <cell r="U101">
            <v>6344</v>
          </cell>
          <cell r="V101">
            <v>6633</v>
          </cell>
          <cell r="W101">
            <v>6916</v>
          </cell>
          <cell r="X101">
            <v>556</v>
          </cell>
          <cell r="Y101">
            <v>560</v>
          </cell>
          <cell r="Z101">
            <v>561</v>
          </cell>
          <cell r="AA101">
            <v>560</v>
          </cell>
          <cell r="AB101">
            <v>558</v>
          </cell>
          <cell r="AC101">
            <v>555</v>
          </cell>
          <cell r="AD101">
            <v>548</v>
          </cell>
          <cell r="AE101">
            <v>531</v>
          </cell>
          <cell r="AF101">
            <v>509</v>
          </cell>
          <cell r="AG101">
            <v>484</v>
          </cell>
          <cell r="AH101">
            <v>458</v>
          </cell>
          <cell r="AI101">
            <v>207</v>
          </cell>
          <cell r="AJ101">
            <v>233</v>
          </cell>
          <cell r="AK101">
            <v>263</v>
          </cell>
          <cell r="AL101">
            <v>296</v>
          </cell>
          <cell r="AM101">
            <v>323</v>
          </cell>
          <cell r="AN101">
            <v>342</v>
          </cell>
          <cell r="AO101">
            <v>353</v>
          </cell>
          <cell r="AP101">
            <v>358</v>
          </cell>
          <cell r="AQ101">
            <v>356</v>
          </cell>
          <cell r="AR101">
            <v>349</v>
          </cell>
          <cell r="AS101">
            <v>340</v>
          </cell>
          <cell r="AT101">
            <v>189</v>
          </cell>
          <cell r="AU101">
            <v>188</v>
          </cell>
          <cell r="AV101">
            <v>186</v>
          </cell>
          <cell r="AW101">
            <v>182</v>
          </cell>
          <cell r="AX101">
            <v>177</v>
          </cell>
          <cell r="AY101">
            <v>171</v>
          </cell>
          <cell r="AZ101">
            <v>166</v>
          </cell>
          <cell r="BA101">
            <v>161</v>
          </cell>
          <cell r="BB101">
            <v>156</v>
          </cell>
          <cell r="BC101">
            <v>152</v>
          </cell>
          <cell r="BD101">
            <v>147</v>
          </cell>
          <cell r="BE101">
            <v>84</v>
          </cell>
          <cell r="BF101">
            <v>96</v>
          </cell>
          <cell r="BG101">
            <v>108</v>
          </cell>
          <cell r="BH101">
            <v>120</v>
          </cell>
          <cell r="BI101">
            <v>132</v>
          </cell>
          <cell r="BJ101">
            <v>144</v>
          </cell>
          <cell r="BK101">
            <v>144</v>
          </cell>
          <cell r="BL101">
            <v>144</v>
          </cell>
          <cell r="BM101">
            <v>144</v>
          </cell>
          <cell r="BN101">
            <v>144</v>
          </cell>
          <cell r="BO101">
            <v>144</v>
          </cell>
        </row>
        <row r="102">
          <cell r="A102" t="str">
            <v>Latvia</v>
          </cell>
          <cell r="B102">
            <v>4876</v>
          </cell>
          <cell r="C102">
            <v>4897</v>
          </cell>
          <cell r="D102">
            <v>4893</v>
          </cell>
          <cell r="E102">
            <v>4874</v>
          </cell>
          <cell r="F102">
            <v>4846</v>
          </cell>
          <cell r="G102">
            <v>4811</v>
          </cell>
          <cell r="H102">
            <v>4773</v>
          </cell>
          <cell r="I102">
            <v>4730</v>
          </cell>
          <cell r="J102">
            <v>4685</v>
          </cell>
          <cell r="K102">
            <v>4639</v>
          </cell>
          <cell r="L102">
            <v>4597</v>
          </cell>
          <cell r="M102">
            <v>972</v>
          </cell>
          <cell r="N102">
            <v>967</v>
          </cell>
          <cell r="O102">
            <v>963</v>
          </cell>
          <cell r="P102">
            <v>962</v>
          </cell>
          <cell r="Q102">
            <v>962</v>
          </cell>
          <cell r="R102">
            <v>963</v>
          </cell>
          <cell r="S102">
            <v>961</v>
          </cell>
          <cell r="T102">
            <v>956</v>
          </cell>
          <cell r="U102">
            <v>949</v>
          </cell>
          <cell r="V102">
            <v>942</v>
          </cell>
          <cell r="W102">
            <v>935</v>
          </cell>
          <cell r="X102">
            <v>125</v>
          </cell>
          <cell r="Y102">
            <v>143</v>
          </cell>
          <cell r="Z102">
            <v>156</v>
          </cell>
          <cell r="AA102">
            <v>169</v>
          </cell>
          <cell r="AB102">
            <v>180</v>
          </cell>
          <cell r="AC102">
            <v>188</v>
          </cell>
          <cell r="AD102">
            <v>193</v>
          </cell>
          <cell r="AE102">
            <v>199</v>
          </cell>
          <cell r="AF102">
            <v>204</v>
          </cell>
          <cell r="AG102">
            <v>210</v>
          </cell>
          <cell r="AH102">
            <v>214</v>
          </cell>
          <cell r="AI102">
            <v>66</v>
          </cell>
          <cell r="AJ102">
            <v>80</v>
          </cell>
          <cell r="AK102">
            <v>96</v>
          </cell>
          <cell r="AL102">
            <v>112</v>
          </cell>
          <cell r="AM102">
            <v>119</v>
          </cell>
          <cell r="AN102">
            <v>128</v>
          </cell>
          <cell r="AO102">
            <v>135</v>
          </cell>
          <cell r="AP102">
            <v>141</v>
          </cell>
          <cell r="AQ102">
            <v>147</v>
          </cell>
          <cell r="AR102">
            <v>153</v>
          </cell>
          <cell r="AS102">
            <v>157</v>
          </cell>
          <cell r="AT102">
            <v>45</v>
          </cell>
          <cell r="AU102">
            <v>45</v>
          </cell>
          <cell r="AV102">
            <v>45</v>
          </cell>
          <cell r="AW102">
            <v>45</v>
          </cell>
          <cell r="AX102">
            <v>45</v>
          </cell>
          <cell r="AY102">
            <v>44</v>
          </cell>
          <cell r="AZ102">
            <v>43</v>
          </cell>
          <cell r="BA102">
            <v>42</v>
          </cell>
          <cell r="BB102">
            <v>41</v>
          </cell>
          <cell r="BC102">
            <v>39</v>
          </cell>
          <cell r="BD102">
            <v>38</v>
          </cell>
          <cell r="BE102">
            <v>45</v>
          </cell>
          <cell r="BF102">
            <v>45</v>
          </cell>
          <cell r="BG102">
            <v>45</v>
          </cell>
          <cell r="BH102">
            <v>45</v>
          </cell>
          <cell r="BI102">
            <v>45</v>
          </cell>
          <cell r="BJ102">
            <v>44</v>
          </cell>
          <cell r="BK102">
            <v>43</v>
          </cell>
          <cell r="BL102">
            <v>42</v>
          </cell>
          <cell r="BM102">
            <v>41</v>
          </cell>
          <cell r="BN102">
            <v>39</v>
          </cell>
          <cell r="BO102">
            <v>38</v>
          </cell>
        </row>
        <row r="103">
          <cell r="A103" t="str">
            <v>Lebanon</v>
          </cell>
          <cell r="B103">
            <v>3701</v>
          </cell>
          <cell r="C103">
            <v>3738</v>
          </cell>
          <cell r="D103">
            <v>3744</v>
          </cell>
          <cell r="E103">
            <v>3749</v>
          </cell>
          <cell r="F103">
            <v>3767</v>
          </cell>
          <cell r="G103">
            <v>3830</v>
          </cell>
          <cell r="H103">
            <v>3896</v>
          </cell>
          <cell r="I103">
            <v>3961</v>
          </cell>
          <cell r="J103">
            <v>4025</v>
          </cell>
          <cell r="K103">
            <v>4087</v>
          </cell>
          <cell r="L103">
            <v>4146</v>
          </cell>
          <cell r="M103">
            <v>923</v>
          </cell>
          <cell r="N103">
            <v>983</v>
          </cell>
          <cell r="O103">
            <v>1035</v>
          </cell>
          <cell r="P103">
            <v>1085</v>
          </cell>
          <cell r="Q103">
            <v>1136</v>
          </cell>
          <cell r="R103">
            <v>1200</v>
          </cell>
          <cell r="S103">
            <v>1264</v>
          </cell>
          <cell r="T103">
            <v>1328</v>
          </cell>
          <cell r="U103">
            <v>1392</v>
          </cell>
          <cell r="V103">
            <v>1455</v>
          </cell>
          <cell r="W103">
            <v>1518</v>
          </cell>
          <cell r="X103">
            <v>102</v>
          </cell>
          <cell r="Y103">
            <v>104</v>
          </cell>
          <cell r="Z103">
            <v>106</v>
          </cell>
          <cell r="AA103">
            <v>108</v>
          </cell>
          <cell r="AB103">
            <v>110</v>
          </cell>
          <cell r="AC103">
            <v>114</v>
          </cell>
          <cell r="AD103">
            <v>117</v>
          </cell>
          <cell r="AE103">
            <v>120</v>
          </cell>
          <cell r="AF103">
            <v>124</v>
          </cell>
          <cell r="AG103">
            <v>127</v>
          </cell>
          <cell r="AH103">
            <v>129</v>
          </cell>
          <cell r="AI103">
            <v>10</v>
          </cell>
          <cell r="AJ103">
            <v>10</v>
          </cell>
          <cell r="AK103">
            <v>10</v>
          </cell>
          <cell r="AL103">
            <v>10</v>
          </cell>
          <cell r="AM103">
            <v>10</v>
          </cell>
          <cell r="AN103">
            <v>10</v>
          </cell>
          <cell r="AO103">
            <v>10</v>
          </cell>
          <cell r="AP103">
            <v>10</v>
          </cell>
          <cell r="AQ103">
            <v>10</v>
          </cell>
          <cell r="AR103">
            <v>10</v>
          </cell>
          <cell r="AS103">
            <v>10</v>
          </cell>
          <cell r="AT103">
            <v>41</v>
          </cell>
          <cell r="AU103">
            <v>42</v>
          </cell>
          <cell r="AV103">
            <v>43</v>
          </cell>
          <cell r="AW103">
            <v>43</v>
          </cell>
          <cell r="AX103">
            <v>43</v>
          </cell>
          <cell r="AY103">
            <v>43</v>
          </cell>
          <cell r="AZ103">
            <v>44</v>
          </cell>
          <cell r="BA103">
            <v>44</v>
          </cell>
          <cell r="BB103">
            <v>44</v>
          </cell>
          <cell r="BC103">
            <v>44</v>
          </cell>
          <cell r="BD103">
            <v>44</v>
          </cell>
          <cell r="BE103">
            <v>0</v>
          </cell>
          <cell r="BF103">
            <v>0</v>
          </cell>
          <cell r="BG103">
            <v>0</v>
          </cell>
          <cell r="BH103">
            <v>0</v>
          </cell>
          <cell r="BI103">
            <v>0</v>
          </cell>
          <cell r="BJ103">
            <v>0</v>
          </cell>
          <cell r="BK103">
            <v>0</v>
          </cell>
          <cell r="BL103">
            <v>0</v>
          </cell>
          <cell r="BM103">
            <v>0</v>
          </cell>
          <cell r="BN103">
            <v>0</v>
          </cell>
          <cell r="BO103">
            <v>0</v>
          </cell>
        </row>
        <row r="104">
          <cell r="A104" t="str">
            <v>Lesotho</v>
          </cell>
          <cell r="B104">
            <v>325599</v>
          </cell>
          <cell r="C104">
            <v>330230</v>
          </cell>
          <cell r="D104">
            <v>334031</v>
          </cell>
          <cell r="E104">
            <v>337318</v>
          </cell>
          <cell r="F104">
            <v>340210</v>
          </cell>
          <cell r="G104">
            <v>342713</v>
          </cell>
          <cell r="H104">
            <v>345067</v>
          </cell>
          <cell r="I104">
            <v>347178</v>
          </cell>
          <cell r="J104">
            <v>349060</v>
          </cell>
          <cell r="K104">
            <v>350601</v>
          </cell>
          <cell r="L104">
            <v>351951</v>
          </cell>
          <cell r="M104">
            <v>123798</v>
          </cell>
          <cell r="N104">
            <v>143196</v>
          </cell>
          <cell r="O104">
            <v>151165</v>
          </cell>
          <cell r="P104">
            <v>158232</v>
          </cell>
          <cell r="Q104">
            <v>164468</v>
          </cell>
          <cell r="R104">
            <v>169914</v>
          </cell>
          <cell r="S104">
            <v>174579</v>
          </cell>
          <cell r="T104">
            <v>178494</v>
          </cell>
          <cell r="U104">
            <v>181732</v>
          </cell>
          <cell r="V104">
            <v>184234</v>
          </cell>
          <cell r="W104">
            <v>186171</v>
          </cell>
          <cell r="X104">
            <v>21757</v>
          </cell>
          <cell r="Y104">
            <v>20075</v>
          </cell>
          <cell r="Z104">
            <v>18466</v>
          </cell>
          <cell r="AA104">
            <v>16716</v>
          </cell>
          <cell r="AB104">
            <v>14925</v>
          </cell>
          <cell r="AC104">
            <v>14117</v>
          </cell>
          <cell r="AD104">
            <v>12778</v>
          </cell>
          <cell r="AE104">
            <v>11436</v>
          </cell>
          <cell r="AF104">
            <v>10093</v>
          </cell>
          <cell r="AG104">
            <v>9235</v>
          </cell>
          <cell r="AH104">
            <v>8491</v>
          </cell>
          <cell r="AI104">
            <v>3560</v>
          </cell>
          <cell r="AJ104">
            <v>3102</v>
          </cell>
          <cell r="AK104">
            <v>2627</v>
          </cell>
          <cell r="AL104">
            <v>2173</v>
          </cell>
          <cell r="AM104">
            <v>1947</v>
          </cell>
          <cell r="AN104">
            <v>2139</v>
          </cell>
          <cell r="AO104">
            <v>2148</v>
          </cell>
          <cell r="AP104">
            <v>2028</v>
          </cell>
          <cell r="AQ104">
            <v>1872</v>
          </cell>
          <cell r="AR104">
            <v>1767</v>
          </cell>
          <cell r="AS104">
            <v>1643</v>
          </cell>
          <cell r="AT104">
            <v>14285</v>
          </cell>
          <cell r="AU104">
            <v>13966</v>
          </cell>
          <cell r="AV104">
            <v>13566</v>
          </cell>
          <cell r="AW104">
            <v>13095</v>
          </cell>
          <cell r="AX104">
            <v>12603</v>
          </cell>
          <cell r="AY104">
            <v>12105</v>
          </cell>
          <cell r="AZ104">
            <v>11617</v>
          </cell>
          <cell r="BA104">
            <v>11151</v>
          </cell>
          <cell r="BB104">
            <v>10714</v>
          </cell>
          <cell r="BC104">
            <v>10308</v>
          </cell>
          <cell r="BD104">
            <v>9935</v>
          </cell>
          <cell r="BE104">
            <v>14285</v>
          </cell>
          <cell r="BF104">
            <v>13966</v>
          </cell>
          <cell r="BG104">
            <v>13566</v>
          </cell>
          <cell r="BH104">
            <v>13095</v>
          </cell>
          <cell r="BI104">
            <v>12603</v>
          </cell>
          <cell r="BJ104">
            <v>8159</v>
          </cell>
          <cell r="BK104">
            <v>8159</v>
          </cell>
          <cell r="BL104">
            <v>8159</v>
          </cell>
          <cell r="BM104">
            <v>8159</v>
          </cell>
          <cell r="BN104">
            <v>8159</v>
          </cell>
          <cell r="BO104">
            <v>8159</v>
          </cell>
        </row>
        <row r="105">
          <cell r="A105" t="str">
            <v>Liberia</v>
          </cell>
          <cell r="B105">
            <v>26270</v>
          </cell>
          <cell r="C105">
            <v>25367</v>
          </cell>
          <cell r="D105">
            <v>24479</v>
          </cell>
          <cell r="E105">
            <v>23631</v>
          </cell>
          <cell r="F105">
            <v>22843</v>
          </cell>
          <cell r="G105">
            <v>22101</v>
          </cell>
          <cell r="H105">
            <v>21460</v>
          </cell>
          <cell r="I105">
            <v>20907</v>
          </cell>
          <cell r="J105">
            <v>20426</v>
          </cell>
          <cell r="K105">
            <v>20021</v>
          </cell>
          <cell r="L105">
            <v>19684</v>
          </cell>
          <cell r="M105">
            <v>4796</v>
          </cell>
          <cell r="N105">
            <v>4965</v>
          </cell>
          <cell r="O105">
            <v>5099</v>
          </cell>
          <cell r="P105">
            <v>5208</v>
          </cell>
          <cell r="Q105">
            <v>5314</v>
          </cell>
          <cell r="R105">
            <v>5424</v>
          </cell>
          <cell r="S105">
            <v>5295</v>
          </cell>
          <cell r="T105">
            <v>5174</v>
          </cell>
          <cell r="U105">
            <v>5056</v>
          </cell>
          <cell r="V105">
            <v>4943</v>
          </cell>
          <cell r="W105">
            <v>4837</v>
          </cell>
          <cell r="X105">
            <v>4338</v>
          </cell>
          <cell r="Y105">
            <v>4050</v>
          </cell>
          <cell r="Z105">
            <v>3783</v>
          </cell>
          <cell r="AA105">
            <v>3544</v>
          </cell>
          <cell r="AB105">
            <v>3331</v>
          </cell>
          <cell r="AC105">
            <v>3054</v>
          </cell>
          <cell r="AD105">
            <v>2808</v>
          </cell>
          <cell r="AE105">
            <v>2578</v>
          </cell>
          <cell r="AF105">
            <v>2378</v>
          </cell>
          <cell r="AG105">
            <v>2192</v>
          </cell>
          <cell r="AH105">
            <v>2031</v>
          </cell>
          <cell r="AI105">
            <v>256</v>
          </cell>
          <cell r="AJ105">
            <v>289</v>
          </cell>
          <cell r="AK105">
            <v>323</v>
          </cell>
          <cell r="AL105">
            <v>356</v>
          </cell>
          <cell r="AM105">
            <v>397</v>
          </cell>
          <cell r="AN105">
            <v>392</v>
          </cell>
          <cell r="AO105">
            <v>346</v>
          </cell>
          <cell r="AP105">
            <v>302</v>
          </cell>
          <cell r="AQ105">
            <v>260</v>
          </cell>
          <cell r="AR105">
            <v>228</v>
          </cell>
          <cell r="AS105">
            <v>211</v>
          </cell>
          <cell r="AT105">
            <v>1331</v>
          </cell>
          <cell r="AU105">
            <v>1244</v>
          </cell>
          <cell r="AV105">
            <v>1164</v>
          </cell>
          <cell r="AW105">
            <v>1090</v>
          </cell>
          <cell r="AX105">
            <v>1025</v>
          </cell>
          <cell r="AY105">
            <v>967</v>
          </cell>
          <cell r="AZ105">
            <v>915</v>
          </cell>
          <cell r="BA105">
            <v>869</v>
          </cell>
          <cell r="BB105">
            <v>830</v>
          </cell>
          <cell r="BC105">
            <v>796</v>
          </cell>
          <cell r="BD105">
            <v>768</v>
          </cell>
          <cell r="BE105">
            <v>624</v>
          </cell>
          <cell r="BF105">
            <v>499</v>
          </cell>
          <cell r="BG105">
            <v>375</v>
          </cell>
          <cell r="BH105">
            <v>250</v>
          </cell>
          <cell r="BI105">
            <v>125</v>
          </cell>
          <cell r="BJ105">
            <v>967</v>
          </cell>
          <cell r="BK105">
            <v>915</v>
          </cell>
          <cell r="BL105">
            <v>869</v>
          </cell>
          <cell r="BM105">
            <v>830</v>
          </cell>
          <cell r="BN105">
            <v>796</v>
          </cell>
          <cell r="BO105">
            <v>768</v>
          </cell>
        </row>
        <row r="106">
          <cell r="A106" t="str">
            <v>Libyan Arab Jamahiriya</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row>
        <row r="107">
          <cell r="A107" t="str">
            <v>Lithuania</v>
          </cell>
          <cell r="B107">
            <v>2113</v>
          </cell>
          <cell r="C107">
            <v>2163</v>
          </cell>
          <cell r="D107">
            <v>2205</v>
          </cell>
          <cell r="E107">
            <v>2240</v>
          </cell>
          <cell r="F107">
            <v>2270</v>
          </cell>
          <cell r="G107">
            <v>2295</v>
          </cell>
          <cell r="H107">
            <v>2315</v>
          </cell>
          <cell r="I107">
            <v>2329</v>
          </cell>
          <cell r="J107">
            <v>2339</v>
          </cell>
          <cell r="K107">
            <v>2345</v>
          </cell>
          <cell r="L107">
            <v>2347</v>
          </cell>
          <cell r="M107">
            <v>174</v>
          </cell>
          <cell r="N107">
            <v>173</v>
          </cell>
          <cell r="O107">
            <v>172</v>
          </cell>
          <cell r="P107">
            <v>171</v>
          </cell>
          <cell r="Q107">
            <v>170</v>
          </cell>
          <cell r="R107">
            <v>170</v>
          </cell>
          <cell r="S107">
            <v>172</v>
          </cell>
          <cell r="T107">
            <v>174</v>
          </cell>
          <cell r="U107">
            <v>176</v>
          </cell>
          <cell r="V107">
            <v>178</v>
          </cell>
          <cell r="W107">
            <v>179</v>
          </cell>
          <cell r="X107">
            <v>14</v>
          </cell>
          <cell r="Y107">
            <v>18</v>
          </cell>
          <cell r="Z107">
            <v>21</v>
          </cell>
          <cell r="AA107">
            <v>25</v>
          </cell>
          <cell r="AB107">
            <v>28</v>
          </cell>
          <cell r="AC107">
            <v>32</v>
          </cell>
          <cell r="AD107">
            <v>35</v>
          </cell>
          <cell r="AE107">
            <v>38</v>
          </cell>
          <cell r="AF107">
            <v>41</v>
          </cell>
          <cell r="AG107">
            <v>44</v>
          </cell>
          <cell r="AH107">
            <v>47</v>
          </cell>
          <cell r="AI107">
            <v>8</v>
          </cell>
          <cell r="AJ107">
            <v>11</v>
          </cell>
          <cell r="AK107">
            <v>14</v>
          </cell>
          <cell r="AL107">
            <v>18</v>
          </cell>
          <cell r="AM107">
            <v>21</v>
          </cell>
          <cell r="AN107">
            <v>24</v>
          </cell>
          <cell r="AO107">
            <v>28</v>
          </cell>
          <cell r="AP107">
            <v>31</v>
          </cell>
          <cell r="AQ107">
            <v>34</v>
          </cell>
          <cell r="AR107">
            <v>37</v>
          </cell>
          <cell r="AS107">
            <v>39</v>
          </cell>
          <cell r="AT107">
            <v>7</v>
          </cell>
          <cell r="AU107">
            <v>7</v>
          </cell>
          <cell r="AV107">
            <v>7</v>
          </cell>
          <cell r="AW107">
            <v>7</v>
          </cell>
          <cell r="AX107">
            <v>7</v>
          </cell>
          <cell r="AY107">
            <v>7</v>
          </cell>
          <cell r="AZ107">
            <v>7</v>
          </cell>
          <cell r="BA107">
            <v>7</v>
          </cell>
          <cell r="BB107">
            <v>7</v>
          </cell>
          <cell r="BC107">
            <v>7</v>
          </cell>
          <cell r="BD107">
            <v>7</v>
          </cell>
          <cell r="BE107">
            <v>7</v>
          </cell>
          <cell r="BF107">
            <v>7</v>
          </cell>
          <cell r="BG107">
            <v>7</v>
          </cell>
          <cell r="BH107">
            <v>7</v>
          </cell>
          <cell r="BI107">
            <v>7</v>
          </cell>
          <cell r="BJ107">
            <v>7</v>
          </cell>
          <cell r="BK107">
            <v>7</v>
          </cell>
          <cell r="BL107">
            <v>7</v>
          </cell>
          <cell r="BM107">
            <v>7</v>
          </cell>
          <cell r="BN107">
            <v>7</v>
          </cell>
          <cell r="BO107">
            <v>7</v>
          </cell>
        </row>
        <row r="108">
          <cell r="A108" t="str">
            <v>Luxembourg</v>
          </cell>
          <cell r="B108">
            <v>1610</v>
          </cell>
          <cell r="C108">
            <v>1667</v>
          </cell>
          <cell r="D108">
            <v>1722</v>
          </cell>
          <cell r="E108">
            <v>1776</v>
          </cell>
          <cell r="F108">
            <v>1827</v>
          </cell>
          <cell r="G108">
            <v>1877</v>
          </cell>
          <cell r="H108">
            <v>1926</v>
          </cell>
          <cell r="I108">
            <v>1974</v>
          </cell>
          <cell r="J108">
            <v>2020</v>
          </cell>
          <cell r="K108">
            <v>2066</v>
          </cell>
          <cell r="L108">
            <v>2111</v>
          </cell>
          <cell r="M108">
            <v>1090</v>
          </cell>
          <cell r="N108">
            <v>1147</v>
          </cell>
          <cell r="O108">
            <v>1202</v>
          </cell>
          <cell r="P108">
            <v>1256</v>
          </cell>
          <cell r="Q108">
            <v>1309</v>
          </cell>
          <cell r="R108">
            <v>1359</v>
          </cell>
          <cell r="S108">
            <v>1409</v>
          </cell>
          <cell r="T108">
            <v>1457</v>
          </cell>
          <cell r="U108">
            <v>1503</v>
          </cell>
          <cell r="V108">
            <v>1549</v>
          </cell>
          <cell r="W108">
            <v>1593</v>
          </cell>
          <cell r="X108">
            <v>28</v>
          </cell>
          <cell r="Y108">
            <v>29</v>
          </cell>
          <cell r="Z108">
            <v>29</v>
          </cell>
          <cell r="AA108">
            <v>30</v>
          </cell>
          <cell r="AB108">
            <v>31</v>
          </cell>
          <cell r="AC108">
            <v>32</v>
          </cell>
          <cell r="AD108">
            <v>32</v>
          </cell>
          <cell r="AE108">
            <v>33</v>
          </cell>
          <cell r="AF108">
            <v>33</v>
          </cell>
          <cell r="AG108">
            <v>34</v>
          </cell>
          <cell r="AH108">
            <v>34</v>
          </cell>
          <cell r="AI108">
            <v>0</v>
          </cell>
          <cell r="AJ108">
            <v>0</v>
          </cell>
          <cell r="AK108">
            <v>0</v>
          </cell>
          <cell r="AL108">
            <v>0</v>
          </cell>
          <cell r="AM108">
            <v>0</v>
          </cell>
          <cell r="AN108">
            <v>0</v>
          </cell>
          <cell r="AO108">
            <v>0</v>
          </cell>
          <cell r="AP108">
            <v>0</v>
          </cell>
          <cell r="AQ108">
            <v>0</v>
          </cell>
          <cell r="AR108">
            <v>0</v>
          </cell>
          <cell r="AS108">
            <v>0</v>
          </cell>
          <cell r="AT108">
            <v>12</v>
          </cell>
          <cell r="AU108">
            <v>12</v>
          </cell>
          <cell r="AV108">
            <v>12</v>
          </cell>
          <cell r="AW108">
            <v>13</v>
          </cell>
          <cell r="AX108">
            <v>13</v>
          </cell>
          <cell r="AY108">
            <v>13</v>
          </cell>
          <cell r="AZ108">
            <v>13</v>
          </cell>
          <cell r="BA108">
            <v>13</v>
          </cell>
          <cell r="BB108">
            <v>13</v>
          </cell>
          <cell r="BC108">
            <v>13</v>
          </cell>
          <cell r="BD108">
            <v>14</v>
          </cell>
          <cell r="BE108">
            <v>10</v>
          </cell>
          <cell r="BF108">
            <v>10</v>
          </cell>
          <cell r="BG108">
            <v>10</v>
          </cell>
          <cell r="BH108">
            <v>10</v>
          </cell>
          <cell r="BI108">
            <v>10</v>
          </cell>
          <cell r="BJ108">
            <v>11</v>
          </cell>
          <cell r="BK108">
            <v>11</v>
          </cell>
          <cell r="BL108">
            <v>11</v>
          </cell>
          <cell r="BM108">
            <v>11</v>
          </cell>
          <cell r="BN108">
            <v>11</v>
          </cell>
          <cell r="BO108">
            <v>11</v>
          </cell>
        </row>
        <row r="109">
          <cell r="A109" t="str">
            <v>Madagascar</v>
          </cell>
          <cell r="B109">
            <v>50478</v>
          </cell>
          <cell r="C109">
            <v>48408</v>
          </cell>
          <cell r="D109">
            <v>46548</v>
          </cell>
          <cell r="E109">
            <v>44932</v>
          </cell>
          <cell r="F109">
            <v>43637</v>
          </cell>
          <cell r="G109">
            <v>42728</v>
          </cell>
          <cell r="H109">
            <v>41981</v>
          </cell>
          <cell r="I109">
            <v>41218</v>
          </cell>
          <cell r="J109">
            <v>40492</v>
          </cell>
          <cell r="K109">
            <v>39835</v>
          </cell>
          <cell r="L109">
            <v>39274</v>
          </cell>
          <cell r="M109">
            <v>1191</v>
          </cell>
          <cell r="N109">
            <v>1554</v>
          </cell>
          <cell r="O109">
            <v>2061</v>
          </cell>
          <cell r="P109">
            <v>2801</v>
          </cell>
          <cell r="Q109">
            <v>3944</v>
          </cell>
          <cell r="R109">
            <v>5817</v>
          </cell>
          <cell r="S109">
            <v>5869</v>
          </cell>
          <cell r="T109">
            <v>5850</v>
          </cell>
          <cell r="U109">
            <v>5786</v>
          </cell>
          <cell r="V109">
            <v>5694</v>
          </cell>
          <cell r="W109">
            <v>5590</v>
          </cell>
          <cell r="X109">
            <v>6233</v>
          </cell>
          <cell r="Y109">
            <v>5895</v>
          </cell>
          <cell r="Z109">
            <v>5473</v>
          </cell>
          <cell r="AA109">
            <v>5004</v>
          </cell>
          <cell r="AB109">
            <v>4571</v>
          </cell>
          <cell r="AC109">
            <v>4287</v>
          </cell>
          <cell r="AD109">
            <v>3985</v>
          </cell>
          <cell r="AE109">
            <v>3685</v>
          </cell>
          <cell r="AF109">
            <v>3383</v>
          </cell>
          <cell r="AG109">
            <v>3109</v>
          </cell>
          <cell r="AH109">
            <v>2859</v>
          </cell>
          <cell r="AI109">
            <v>29</v>
          </cell>
          <cell r="AJ109">
            <v>39</v>
          </cell>
          <cell r="AK109">
            <v>54</v>
          </cell>
          <cell r="AL109">
            <v>74</v>
          </cell>
          <cell r="AM109">
            <v>109</v>
          </cell>
          <cell r="AN109">
            <v>195</v>
          </cell>
          <cell r="AO109">
            <v>192</v>
          </cell>
          <cell r="AP109">
            <v>195</v>
          </cell>
          <cell r="AQ109">
            <v>200</v>
          </cell>
          <cell r="AR109">
            <v>200</v>
          </cell>
          <cell r="AS109">
            <v>192</v>
          </cell>
          <cell r="AT109">
            <v>1913</v>
          </cell>
          <cell r="AU109">
            <v>1777</v>
          </cell>
          <cell r="AV109">
            <v>1658</v>
          </cell>
          <cell r="AW109">
            <v>1555</v>
          </cell>
          <cell r="AX109">
            <v>1470</v>
          </cell>
          <cell r="AY109">
            <v>1408</v>
          </cell>
          <cell r="AZ109">
            <v>1347</v>
          </cell>
          <cell r="BA109">
            <v>1278</v>
          </cell>
          <cell r="BB109">
            <v>1213</v>
          </cell>
          <cell r="BC109">
            <v>1154</v>
          </cell>
          <cell r="BD109">
            <v>1100</v>
          </cell>
          <cell r="BE109">
            <v>183</v>
          </cell>
          <cell r="BF109">
            <v>366</v>
          </cell>
          <cell r="BG109">
            <v>732</v>
          </cell>
          <cell r="BH109">
            <v>1000</v>
          </cell>
          <cell r="BI109">
            <v>1000</v>
          </cell>
          <cell r="BJ109">
            <v>500</v>
          </cell>
          <cell r="BK109">
            <v>500</v>
          </cell>
          <cell r="BL109">
            <v>500</v>
          </cell>
          <cell r="BM109">
            <v>500</v>
          </cell>
          <cell r="BN109">
            <v>500</v>
          </cell>
          <cell r="BO109">
            <v>500</v>
          </cell>
        </row>
        <row r="110">
          <cell r="A110" t="str">
            <v>Malawi</v>
          </cell>
          <cell r="B110">
            <v>897191</v>
          </cell>
          <cell r="C110">
            <v>888455</v>
          </cell>
          <cell r="D110">
            <v>877854</v>
          </cell>
          <cell r="E110">
            <v>865626</v>
          </cell>
          <cell r="F110">
            <v>851751</v>
          </cell>
          <cell r="G110">
            <v>836247</v>
          </cell>
          <cell r="H110">
            <v>820586</v>
          </cell>
          <cell r="I110">
            <v>805533</v>
          </cell>
          <cell r="J110">
            <v>791022</v>
          </cell>
          <cell r="K110">
            <v>777491</v>
          </cell>
          <cell r="L110">
            <v>764744</v>
          </cell>
          <cell r="M110">
            <v>438004</v>
          </cell>
          <cell r="N110">
            <v>457906</v>
          </cell>
          <cell r="O110">
            <v>470364</v>
          </cell>
          <cell r="P110">
            <v>476720</v>
          </cell>
          <cell r="Q110">
            <v>477590</v>
          </cell>
          <cell r="R110">
            <v>473796</v>
          </cell>
          <cell r="S110">
            <v>472870</v>
          </cell>
          <cell r="T110">
            <v>470625</v>
          </cell>
          <cell r="U110">
            <v>467293</v>
          </cell>
          <cell r="V110">
            <v>463608</v>
          </cell>
          <cell r="W110">
            <v>459237</v>
          </cell>
          <cell r="X110">
            <v>145579</v>
          </cell>
          <cell r="Y110">
            <v>135329</v>
          </cell>
          <cell r="Z110">
            <v>125350</v>
          </cell>
          <cell r="AA110">
            <v>115889</v>
          </cell>
          <cell r="AB110">
            <v>106225</v>
          </cell>
          <cell r="AC110">
            <v>103417</v>
          </cell>
          <cell r="AD110">
            <v>101669</v>
          </cell>
          <cell r="AE110">
            <v>98279</v>
          </cell>
          <cell r="AF110">
            <v>94686</v>
          </cell>
          <cell r="AG110">
            <v>90349</v>
          </cell>
          <cell r="AH110">
            <v>85835</v>
          </cell>
          <cell r="AI110">
            <v>40987</v>
          </cell>
          <cell r="AJ110">
            <v>42698</v>
          </cell>
          <cell r="AK110">
            <v>44074</v>
          </cell>
          <cell r="AL110">
            <v>45589</v>
          </cell>
          <cell r="AM110">
            <v>45543</v>
          </cell>
          <cell r="AN110">
            <v>51976</v>
          </cell>
          <cell r="AO110">
            <v>54002</v>
          </cell>
          <cell r="AP110">
            <v>56682</v>
          </cell>
          <cell r="AQ110">
            <v>57579</v>
          </cell>
          <cell r="AR110">
            <v>56691</v>
          </cell>
          <cell r="AS110">
            <v>54950</v>
          </cell>
          <cell r="AT110">
            <v>62169</v>
          </cell>
          <cell r="AU110">
            <v>58677</v>
          </cell>
          <cell r="AV110">
            <v>55005</v>
          </cell>
          <cell r="AW110">
            <v>51344</v>
          </cell>
          <cell r="AX110">
            <v>47709</v>
          </cell>
          <cell r="AY110">
            <v>44153</v>
          </cell>
          <cell r="AZ110">
            <v>40793</v>
          </cell>
          <cell r="BA110">
            <v>37691</v>
          </cell>
          <cell r="BB110">
            <v>34861</v>
          </cell>
          <cell r="BC110">
            <v>32344</v>
          </cell>
          <cell r="BD110">
            <v>30150</v>
          </cell>
          <cell r="BE110">
            <v>41488</v>
          </cell>
          <cell r="BF110">
            <v>41774</v>
          </cell>
          <cell r="BG110">
            <v>41852</v>
          </cell>
          <cell r="BH110">
            <v>41575</v>
          </cell>
          <cell r="BI110">
            <v>40973</v>
          </cell>
          <cell r="BJ110">
            <v>11498</v>
          </cell>
          <cell r="BK110">
            <v>11498</v>
          </cell>
          <cell r="BL110">
            <v>11498</v>
          </cell>
          <cell r="BM110">
            <v>11498</v>
          </cell>
          <cell r="BN110">
            <v>11498</v>
          </cell>
          <cell r="BO110">
            <v>11498</v>
          </cell>
        </row>
        <row r="111">
          <cell r="A111" t="str">
            <v>Malaysia</v>
          </cell>
          <cell r="B111">
            <v>100408</v>
          </cell>
          <cell r="C111">
            <v>104292</v>
          </cell>
          <cell r="D111">
            <v>107972</v>
          </cell>
          <cell r="E111">
            <v>111619</v>
          </cell>
          <cell r="F111">
            <v>115367</v>
          </cell>
          <cell r="G111">
            <v>119282</v>
          </cell>
          <cell r="H111">
            <v>123191</v>
          </cell>
          <cell r="I111">
            <v>126897</v>
          </cell>
          <cell r="J111">
            <v>130395</v>
          </cell>
          <cell r="K111">
            <v>133677</v>
          </cell>
          <cell r="L111">
            <v>136763</v>
          </cell>
          <cell r="M111">
            <v>25072</v>
          </cell>
          <cell r="N111">
            <v>29578</v>
          </cell>
          <cell r="O111">
            <v>34512</v>
          </cell>
          <cell r="P111">
            <v>39980</v>
          </cell>
          <cell r="Q111">
            <v>46080</v>
          </cell>
          <cell r="R111">
            <v>52886</v>
          </cell>
          <cell r="S111">
            <v>56488</v>
          </cell>
          <cell r="T111">
            <v>59827</v>
          </cell>
          <cell r="U111">
            <v>62913</v>
          </cell>
          <cell r="V111">
            <v>65753</v>
          </cell>
          <cell r="W111">
            <v>68370</v>
          </cell>
          <cell r="X111">
            <v>1101</v>
          </cell>
          <cell r="Y111">
            <v>1164</v>
          </cell>
          <cell r="Z111">
            <v>1211</v>
          </cell>
          <cell r="AA111">
            <v>1247</v>
          </cell>
          <cell r="AB111">
            <v>1275</v>
          </cell>
          <cell r="AC111">
            <v>1367</v>
          </cell>
          <cell r="AD111">
            <v>1472</v>
          </cell>
          <cell r="AE111">
            <v>1562</v>
          </cell>
          <cell r="AF111">
            <v>1654</v>
          </cell>
          <cell r="AG111">
            <v>1748</v>
          </cell>
          <cell r="AH111">
            <v>1834</v>
          </cell>
          <cell r="AI111">
            <v>614</v>
          </cell>
          <cell r="AJ111">
            <v>632</v>
          </cell>
          <cell r="AK111">
            <v>663</v>
          </cell>
          <cell r="AL111">
            <v>692</v>
          </cell>
          <cell r="AM111">
            <v>722</v>
          </cell>
          <cell r="AN111">
            <v>787</v>
          </cell>
          <cell r="AO111">
            <v>868</v>
          </cell>
          <cell r="AP111">
            <v>962</v>
          </cell>
          <cell r="AQ111">
            <v>1046</v>
          </cell>
          <cell r="AR111">
            <v>1132</v>
          </cell>
          <cell r="AS111">
            <v>1218</v>
          </cell>
          <cell r="AT111">
            <v>560</v>
          </cell>
          <cell r="AU111">
            <v>571</v>
          </cell>
          <cell r="AV111">
            <v>574</v>
          </cell>
          <cell r="AW111">
            <v>575</v>
          </cell>
          <cell r="AX111">
            <v>581</v>
          </cell>
          <cell r="AY111">
            <v>589</v>
          </cell>
          <cell r="AZ111">
            <v>595</v>
          </cell>
          <cell r="BA111">
            <v>595</v>
          </cell>
          <cell r="BB111">
            <v>595</v>
          </cell>
          <cell r="BC111">
            <v>592</v>
          </cell>
          <cell r="BD111">
            <v>588</v>
          </cell>
          <cell r="BE111">
            <v>382</v>
          </cell>
          <cell r="BF111">
            <v>402</v>
          </cell>
          <cell r="BG111">
            <v>421</v>
          </cell>
          <cell r="BH111">
            <v>441</v>
          </cell>
          <cell r="BI111">
            <v>460</v>
          </cell>
          <cell r="BJ111">
            <v>300</v>
          </cell>
          <cell r="BK111">
            <v>300</v>
          </cell>
          <cell r="BL111">
            <v>300</v>
          </cell>
          <cell r="BM111">
            <v>300</v>
          </cell>
          <cell r="BN111">
            <v>300</v>
          </cell>
          <cell r="BO111">
            <v>300</v>
          </cell>
        </row>
        <row r="112">
          <cell r="A112" t="str">
            <v>Maldives</v>
          </cell>
          <cell r="B112">
            <v>24</v>
          </cell>
          <cell r="C112">
            <v>23</v>
          </cell>
          <cell r="D112">
            <v>22</v>
          </cell>
          <cell r="E112">
            <v>21</v>
          </cell>
          <cell r="F112">
            <v>20</v>
          </cell>
          <cell r="G112">
            <v>20</v>
          </cell>
          <cell r="H112">
            <v>19</v>
          </cell>
          <cell r="I112">
            <v>19</v>
          </cell>
          <cell r="J112">
            <v>18</v>
          </cell>
          <cell r="K112">
            <v>18</v>
          </cell>
          <cell r="L112">
            <v>18</v>
          </cell>
          <cell r="M112">
            <v>3</v>
          </cell>
          <cell r="N112">
            <v>3</v>
          </cell>
          <cell r="O112">
            <v>3</v>
          </cell>
          <cell r="P112">
            <v>3</v>
          </cell>
          <cell r="Q112">
            <v>2</v>
          </cell>
          <cell r="R112">
            <v>2</v>
          </cell>
          <cell r="S112">
            <v>2</v>
          </cell>
          <cell r="T112">
            <v>2</v>
          </cell>
          <cell r="U112">
            <v>2</v>
          </cell>
          <cell r="V112">
            <v>2</v>
          </cell>
          <cell r="W112">
            <v>2</v>
          </cell>
          <cell r="X112">
            <v>0.83098000000000005</v>
          </cell>
          <cell r="Y112">
            <v>0.80257999999999996</v>
          </cell>
          <cell r="Z112">
            <v>0.77246000000000004</v>
          </cell>
          <cell r="AA112">
            <v>0.74046999999999996</v>
          </cell>
          <cell r="AB112">
            <v>0.70694000000000001</v>
          </cell>
          <cell r="AC112">
            <v>0.67244000000000004</v>
          </cell>
          <cell r="AD112">
            <v>0.63737999999999995</v>
          </cell>
          <cell r="AE112">
            <v>0.60189999999999999</v>
          </cell>
          <cell r="AF112">
            <v>0.56567000000000001</v>
          </cell>
          <cell r="AG112">
            <v>0.53007000000000004</v>
          </cell>
          <cell r="AH112">
            <v>0.49584</v>
          </cell>
          <cell r="AI112">
            <v>0</v>
          </cell>
          <cell r="AJ112">
            <v>0</v>
          </cell>
          <cell r="AK112">
            <v>0</v>
          </cell>
          <cell r="AL112">
            <v>0</v>
          </cell>
          <cell r="AM112">
            <v>0</v>
          </cell>
          <cell r="AN112">
            <v>0</v>
          </cell>
          <cell r="AO112">
            <v>0</v>
          </cell>
          <cell r="AP112">
            <v>0</v>
          </cell>
          <cell r="AQ112">
            <v>0</v>
          </cell>
          <cell r="AR112">
            <v>0</v>
          </cell>
          <cell r="AS112">
            <v>0</v>
          </cell>
          <cell r="AT112">
            <v>0.26597999999999999</v>
          </cell>
          <cell r="AU112">
            <v>0.24374000000000001</v>
          </cell>
          <cell r="AV112">
            <v>0.22403999999999999</v>
          </cell>
          <cell r="AW112">
            <v>0.20596</v>
          </cell>
          <cell r="AX112">
            <v>0.18962000000000001</v>
          </cell>
          <cell r="AY112">
            <v>0.17512</v>
          </cell>
          <cell r="AZ112">
            <v>0.16239999999999999</v>
          </cell>
          <cell r="BA112">
            <v>0.15139</v>
          </cell>
          <cell r="BB112">
            <v>0.14197000000000001</v>
          </cell>
          <cell r="BC112">
            <v>0.13395000000000001</v>
          </cell>
          <cell r="BD112">
            <v>0.12717999999999999</v>
          </cell>
          <cell r="BE112">
            <v>0</v>
          </cell>
          <cell r="BF112">
            <v>0</v>
          </cell>
          <cell r="BG112">
            <v>0</v>
          </cell>
          <cell r="BH112">
            <v>0</v>
          </cell>
          <cell r="BI112">
            <v>0</v>
          </cell>
          <cell r="BJ112">
            <v>0</v>
          </cell>
          <cell r="BK112">
            <v>0</v>
          </cell>
          <cell r="BL112">
            <v>0</v>
          </cell>
          <cell r="BM112">
            <v>0</v>
          </cell>
          <cell r="BN112">
            <v>0</v>
          </cell>
          <cell r="BO112">
            <v>0</v>
          </cell>
        </row>
        <row r="113">
          <cell r="A113" t="str">
            <v>Mali</v>
          </cell>
          <cell r="B113">
            <v>79169</v>
          </cell>
          <cell r="C113">
            <v>78313</v>
          </cell>
          <cell r="D113">
            <v>77312</v>
          </cell>
          <cell r="E113">
            <v>76185</v>
          </cell>
          <cell r="F113">
            <v>74962</v>
          </cell>
          <cell r="G113">
            <v>73630</v>
          </cell>
          <cell r="H113">
            <v>72324</v>
          </cell>
          <cell r="I113">
            <v>71038</v>
          </cell>
          <cell r="J113">
            <v>69778</v>
          </cell>
          <cell r="K113">
            <v>68558</v>
          </cell>
          <cell r="L113">
            <v>67442</v>
          </cell>
          <cell r="M113">
            <v>39649</v>
          </cell>
          <cell r="N113">
            <v>40879</v>
          </cell>
          <cell r="O113">
            <v>41778</v>
          </cell>
          <cell r="P113">
            <v>42377</v>
          </cell>
          <cell r="Q113">
            <v>42721</v>
          </cell>
          <cell r="R113">
            <v>42838</v>
          </cell>
          <cell r="S113">
            <v>42769</v>
          </cell>
          <cell r="T113">
            <v>42539</v>
          </cell>
          <cell r="U113">
            <v>42175</v>
          </cell>
          <cell r="V113">
            <v>41693</v>
          </cell>
          <cell r="W113">
            <v>41189</v>
          </cell>
          <cell r="X113">
            <v>15471</v>
          </cell>
          <cell r="Y113">
            <v>15396</v>
          </cell>
          <cell r="Z113">
            <v>15074</v>
          </cell>
          <cell r="AA113">
            <v>14590</v>
          </cell>
          <cell r="AB113">
            <v>13993</v>
          </cell>
          <cell r="AC113">
            <v>13338</v>
          </cell>
          <cell r="AD113">
            <v>12598</v>
          </cell>
          <cell r="AE113">
            <v>11832</v>
          </cell>
          <cell r="AF113">
            <v>11050</v>
          </cell>
          <cell r="AG113">
            <v>10254</v>
          </cell>
          <cell r="AH113">
            <v>9409</v>
          </cell>
          <cell r="AI113">
            <v>3785</v>
          </cell>
          <cell r="AJ113">
            <v>3949</v>
          </cell>
          <cell r="AK113">
            <v>4164</v>
          </cell>
          <cell r="AL113">
            <v>4219</v>
          </cell>
          <cell r="AM113">
            <v>4209</v>
          </cell>
          <cell r="AN113">
            <v>3997</v>
          </cell>
          <cell r="AO113">
            <v>3831</v>
          </cell>
          <cell r="AP113">
            <v>3590</v>
          </cell>
          <cell r="AQ113">
            <v>3317</v>
          </cell>
          <cell r="AR113">
            <v>3046</v>
          </cell>
          <cell r="AS113">
            <v>2730</v>
          </cell>
          <cell r="AT113">
            <v>6253</v>
          </cell>
          <cell r="AU113">
            <v>5966</v>
          </cell>
          <cell r="AV113">
            <v>5630</v>
          </cell>
          <cell r="AW113">
            <v>5286</v>
          </cell>
          <cell r="AX113">
            <v>4937</v>
          </cell>
          <cell r="AY113">
            <v>4592</v>
          </cell>
          <cell r="AZ113">
            <v>4260</v>
          </cell>
          <cell r="BA113">
            <v>3948</v>
          </cell>
          <cell r="BB113">
            <v>3657</v>
          </cell>
          <cell r="BC113">
            <v>3389</v>
          </cell>
          <cell r="BD113">
            <v>3151</v>
          </cell>
          <cell r="BE113">
            <v>2286</v>
          </cell>
          <cell r="BF113">
            <v>2286</v>
          </cell>
          <cell r="BG113">
            <v>2286</v>
          </cell>
          <cell r="BH113">
            <v>2286</v>
          </cell>
          <cell r="BI113">
            <v>2286</v>
          </cell>
          <cell r="BJ113">
            <v>2286</v>
          </cell>
          <cell r="BK113">
            <v>2286</v>
          </cell>
          <cell r="BL113">
            <v>2286</v>
          </cell>
          <cell r="BM113">
            <v>2286</v>
          </cell>
          <cell r="BN113">
            <v>2286</v>
          </cell>
          <cell r="BO113">
            <v>2286</v>
          </cell>
        </row>
        <row r="114">
          <cell r="A114" t="str">
            <v>Malta</v>
          </cell>
          <cell r="B114">
            <v>402</v>
          </cell>
          <cell r="C114">
            <v>420</v>
          </cell>
          <cell r="D114">
            <v>438</v>
          </cell>
          <cell r="E114">
            <v>457</v>
          </cell>
          <cell r="F114">
            <v>475</v>
          </cell>
          <cell r="G114">
            <v>494</v>
          </cell>
          <cell r="H114">
            <v>513</v>
          </cell>
          <cell r="I114">
            <v>531</v>
          </cell>
          <cell r="J114">
            <v>549</v>
          </cell>
          <cell r="K114">
            <v>566</v>
          </cell>
          <cell r="L114">
            <v>583</v>
          </cell>
          <cell r="M114">
            <v>253</v>
          </cell>
          <cell r="N114">
            <v>269</v>
          </cell>
          <cell r="O114">
            <v>284</v>
          </cell>
          <cell r="P114">
            <v>300</v>
          </cell>
          <cell r="Q114">
            <v>316</v>
          </cell>
          <cell r="R114">
            <v>332</v>
          </cell>
          <cell r="S114">
            <v>348</v>
          </cell>
          <cell r="T114">
            <v>365</v>
          </cell>
          <cell r="U114">
            <v>381</v>
          </cell>
          <cell r="V114">
            <v>397</v>
          </cell>
          <cell r="W114">
            <v>413</v>
          </cell>
          <cell r="X114">
            <v>5</v>
          </cell>
          <cell r="Y114">
            <v>5</v>
          </cell>
          <cell r="Z114">
            <v>5</v>
          </cell>
          <cell r="AA114">
            <v>5</v>
          </cell>
          <cell r="AB114">
            <v>6</v>
          </cell>
          <cell r="AC114">
            <v>6</v>
          </cell>
          <cell r="AD114">
            <v>6</v>
          </cell>
          <cell r="AE114">
            <v>6</v>
          </cell>
          <cell r="AF114">
            <v>6</v>
          </cell>
          <cell r="AG114">
            <v>6</v>
          </cell>
          <cell r="AH114">
            <v>7</v>
          </cell>
          <cell r="AI114">
            <v>0</v>
          </cell>
          <cell r="AJ114">
            <v>0</v>
          </cell>
          <cell r="AK114">
            <v>0</v>
          </cell>
          <cell r="AL114">
            <v>0</v>
          </cell>
          <cell r="AM114">
            <v>0</v>
          </cell>
          <cell r="AN114">
            <v>0</v>
          </cell>
          <cell r="AO114">
            <v>0</v>
          </cell>
          <cell r="AP114">
            <v>0</v>
          </cell>
          <cell r="AQ114">
            <v>0</v>
          </cell>
          <cell r="AR114">
            <v>0</v>
          </cell>
          <cell r="AS114">
            <v>0</v>
          </cell>
          <cell r="AT114">
            <v>2</v>
          </cell>
          <cell r="AU114">
            <v>2</v>
          </cell>
          <cell r="AV114">
            <v>2</v>
          </cell>
          <cell r="AW114">
            <v>2</v>
          </cell>
          <cell r="AX114">
            <v>3</v>
          </cell>
          <cell r="AY114">
            <v>3</v>
          </cell>
          <cell r="AZ114">
            <v>3</v>
          </cell>
          <cell r="BA114">
            <v>3</v>
          </cell>
          <cell r="BB114">
            <v>3</v>
          </cell>
          <cell r="BC114">
            <v>3</v>
          </cell>
          <cell r="BD114">
            <v>3</v>
          </cell>
          <cell r="BE114">
            <v>2</v>
          </cell>
          <cell r="BF114">
            <v>2</v>
          </cell>
          <cell r="BG114">
            <v>2</v>
          </cell>
          <cell r="BH114">
            <v>2</v>
          </cell>
          <cell r="BI114">
            <v>2</v>
          </cell>
          <cell r="BJ114">
            <v>2</v>
          </cell>
          <cell r="BK114">
            <v>2</v>
          </cell>
          <cell r="BL114">
            <v>2</v>
          </cell>
          <cell r="BM114">
            <v>2</v>
          </cell>
          <cell r="BN114">
            <v>2</v>
          </cell>
          <cell r="BO114">
            <v>2</v>
          </cell>
        </row>
        <row r="115">
          <cell r="A115" t="str">
            <v>Martinique</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row>
        <row r="116">
          <cell r="A116" t="str">
            <v>Mauritania</v>
          </cell>
          <cell r="B116">
            <v>7813</v>
          </cell>
          <cell r="C116">
            <v>7629</v>
          </cell>
          <cell r="D116">
            <v>7528</v>
          </cell>
          <cell r="E116">
            <v>7476</v>
          </cell>
          <cell r="F116">
            <v>7451</v>
          </cell>
          <cell r="G116">
            <v>7442</v>
          </cell>
          <cell r="H116">
            <v>7442</v>
          </cell>
          <cell r="I116">
            <v>7442</v>
          </cell>
          <cell r="J116">
            <v>7441</v>
          </cell>
          <cell r="K116">
            <v>7438</v>
          </cell>
          <cell r="L116">
            <v>7432</v>
          </cell>
          <cell r="M116">
            <v>2969</v>
          </cell>
          <cell r="N116">
            <v>3596</v>
          </cell>
          <cell r="O116">
            <v>4181</v>
          </cell>
          <cell r="P116">
            <v>4712</v>
          </cell>
          <cell r="Q116">
            <v>5131</v>
          </cell>
          <cell r="R116">
            <v>5522</v>
          </cell>
          <cell r="S116">
            <v>5701</v>
          </cell>
          <cell r="T116">
            <v>5852</v>
          </cell>
          <cell r="U116">
            <v>5980</v>
          </cell>
          <cell r="V116">
            <v>6086</v>
          </cell>
          <cell r="W116">
            <v>6171</v>
          </cell>
          <cell r="X116">
            <v>895</v>
          </cell>
          <cell r="Y116">
            <v>806</v>
          </cell>
          <cell r="Z116">
            <v>718</v>
          </cell>
          <cell r="AA116">
            <v>632</v>
          </cell>
          <cell r="AB116">
            <v>549</v>
          </cell>
          <cell r="AC116">
            <v>471</v>
          </cell>
          <cell r="AD116">
            <v>399</v>
          </cell>
          <cell r="AE116">
            <v>334</v>
          </cell>
          <cell r="AF116">
            <v>273</v>
          </cell>
          <cell r="AG116">
            <v>218</v>
          </cell>
          <cell r="AH116">
            <v>169</v>
          </cell>
          <cell r="AI116">
            <v>8</v>
          </cell>
          <cell r="AJ116">
            <v>7</v>
          </cell>
          <cell r="AK116">
            <v>7</v>
          </cell>
          <cell r="AL116">
            <v>6</v>
          </cell>
          <cell r="AM116">
            <v>6</v>
          </cell>
          <cell r="AN116">
            <v>5</v>
          </cell>
          <cell r="AO116">
            <v>5</v>
          </cell>
          <cell r="AP116">
            <v>4</v>
          </cell>
          <cell r="AQ116">
            <v>4</v>
          </cell>
          <cell r="AR116">
            <v>3</v>
          </cell>
          <cell r="AS116">
            <v>3</v>
          </cell>
          <cell r="AT116">
            <v>401</v>
          </cell>
          <cell r="AU116">
            <v>365</v>
          </cell>
          <cell r="AV116">
            <v>341</v>
          </cell>
          <cell r="AW116">
            <v>321</v>
          </cell>
          <cell r="AX116">
            <v>303</v>
          </cell>
          <cell r="AY116">
            <v>287</v>
          </cell>
          <cell r="AZ116">
            <v>270</v>
          </cell>
          <cell r="BA116">
            <v>252</v>
          </cell>
          <cell r="BB116">
            <v>235</v>
          </cell>
          <cell r="BC116">
            <v>219</v>
          </cell>
          <cell r="BD116">
            <v>205</v>
          </cell>
          <cell r="BE116">
            <v>401</v>
          </cell>
          <cell r="BF116">
            <v>365</v>
          </cell>
          <cell r="BG116">
            <v>341</v>
          </cell>
          <cell r="BH116">
            <v>321</v>
          </cell>
          <cell r="BI116">
            <v>303</v>
          </cell>
          <cell r="BJ116">
            <v>287</v>
          </cell>
          <cell r="BK116">
            <v>270</v>
          </cell>
          <cell r="BL116">
            <v>252</v>
          </cell>
          <cell r="BM116">
            <v>235</v>
          </cell>
          <cell r="BN116">
            <v>219</v>
          </cell>
          <cell r="BO116">
            <v>205</v>
          </cell>
        </row>
        <row r="117">
          <cell r="A117" t="str">
            <v>Mauritius</v>
          </cell>
          <cell r="B117">
            <v>11140</v>
          </cell>
          <cell r="C117">
            <v>10903</v>
          </cell>
          <cell r="D117">
            <v>10678</v>
          </cell>
          <cell r="E117">
            <v>10491</v>
          </cell>
          <cell r="F117">
            <v>10349</v>
          </cell>
          <cell r="G117">
            <v>10249</v>
          </cell>
          <cell r="H117">
            <v>10155</v>
          </cell>
          <cell r="I117">
            <v>10039</v>
          </cell>
          <cell r="J117">
            <v>9905</v>
          </cell>
          <cell r="K117">
            <v>9755</v>
          </cell>
          <cell r="L117">
            <v>9594</v>
          </cell>
          <cell r="M117">
            <v>2154</v>
          </cell>
          <cell r="N117">
            <v>2544</v>
          </cell>
          <cell r="O117">
            <v>2958</v>
          </cell>
          <cell r="P117">
            <v>3398</v>
          </cell>
          <cell r="Q117">
            <v>3860</v>
          </cell>
          <cell r="R117">
            <v>4343</v>
          </cell>
          <cell r="S117">
            <v>4457</v>
          </cell>
          <cell r="T117">
            <v>4528</v>
          </cell>
          <cell r="U117">
            <v>4563</v>
          </cell>
          <cell r="V117">
            <v>4567</v>
          </cell>
          <cell r="W117">
            <v>4546</v>
          </cell>
          <cell r="X117">
            <v>256</v>
          </cell>
          <cell r="Y117">
            <v>261</v>
          </cell>
          <cell r="Z117">
            <v>258</v>
          </cell>
          <cell r="AA117">
            <v>252</v>
          </cell>
          <cell r="AB117">
            <v>246</v>
          </cell>
          <cell r="AC117">
            <v>240</v>
          </cell>
          <cell r="AD117">
            <v>236</v>
          </cell>
          <cell r="AE117">
            <v>232</v>
          </cell>
          <cell r="AF117">
            <v>224</v>
          </cell>
          <cell r="AG117">
            <v>216</v>
          </cell>
          <cell r="AH117">
            <v>209</v>
          </cell>
          <cell r="AI117">
            <v>43</v>
          </cell>
          <cell r="AJ117">
            <v>43</v>
          </cell>
          <cell r="AK117">
            <v>49</v>
          </cell>
          <cell r="AL117">
            <v>54</v>
          </cell>
          <cell r="AM117">
            <v>59</v>
          </cell>
          <cell r="AN117">
            <v>66</v>
          </cell>
          <cell r="AO117">
            <v>67</v>
          </cell>
          <cell r="AP117">
            <v>69</v>
          </cell>
          <cell r="AQ117">
            <v>70</v>
          </cell>
          <cell r="AR117">
            <v>71</v>
          </cell>
          <cell r="AS117">
            <v>70</v>
          </cell>
          <cell r="AT117">
            <v>74</v>
          </cell>
          <cell r="AU117">
            <v>71</v>
          </cell>
          <cell r="AV117">
            <v>68</v>
          </cell>
          <cell r="AW117">
            <v>65</v>
          </cell>
          <cell r="AX117">
            <v>63</v>
          </cell>
          <cell r="AY117">
            <v>61</v>
          </cell>
          <cell r="AZ117">
            <v>60</v>
          </cell>
          <cell r="BA117">
            <v>57</v>
          </cell>
          <cell r="BB117">
            <v>55</v>
          </cell>
          <cell r="BC117">
            <v>53</v>
          </cell>
          <cell r="BD117">
            <v>51</v>
          </cell>
          <cell r="BE117">
            <v>74</v>
          </cell>
          <cell r="BF117">
            <v>71</v>
          </cell>
          <cell r="BG117">
            <v>68</v>
          </cell>
          <cell r="BH117">
            <v>65</v>
          </cell>
          <cell r="BI117">
            <v>63</v>
          </cell>
          <cell r="BJ117">
            <v>61</v>
          </cell>
          <cell r="BK117">
            <v>60</v>
          </cell>
          <cell r="BL117">
            <v>57</v>
          </cell>
          <cell r="BM117">
            <v>55</v>
          </cell>
          <cell r="BN117">
            <v>53</v>
          </cell>
          <cell r="BO117">
            <v>51</v>
          </cell>
        </row>
        <row r="118">
          <cell r="A118" t="str">
            <v>Mayotte</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row>
        <row r="119">
          <cell r="A119" t="str">
            <v>Melanesia</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row>
        <row r="120">
          <cell r="A120" t="str">
            <v>Mexico</v>
          </cell>
          <cell r="B120">
            <v>189506</v>
          </cell>
          <cell r="C120">
            <v>189959</v>
          </cell>
          <cell r="D120">
            <v>188949</v>
          </cell>
          <cell r="E120">
            <v>187707</v>
          </cell>
          <cell r="F120">
            <v>186283</v>
          </cell>
          <cell r="G120">
            <v>184981</v>
          </cell>
          <cell r="H120">
            <v>183719</v>
          </cell>
          <cell r="I120">
            <v>182363</v>
          </cell>
          <cell r="J120">
            <v>180889</v>
          </cell>
          <cell r="K120">
            <v>179309</v>
          </cell>
          <cell r="L120">
            <v>177635</v>
          </cell>
          <cell r="M120">
            <v>98620</v>
          </cell>
          <cell r="N120">
            <v>104395</v>
          </cell>
          <cell r="O120">
            <v>109953</v>
          </cell>
          <cell r="P120">
            <v>115197</v>
          </cell>
          <cell r="Q120">
            <v>120147</v>
          </cell>
          <cell r="R120">
            <v>124845</v>
          </cell>
          <cell r="S120">
            <v>126990</v>
          </cell>
          <cell r="T120">
            <v>128521</v>
          </cell>
          <cell r="U120">
            <v>129494</v>
          </cell>
          <cell r="V120">
            <v>129983</v>
          </cell>
          <cell r="W120">
            <v>130067</v>
          </cell>
          <cell r="X120">
            <v>2384</v>
          </cell>
          <cell r="Y120">
            <v>2253</v>
          </cell>
          <cell r="Z120">
            <v>2115</v>
          </cell>
          <cell r="AA120">
            <v>1968</v>
          </cell>
          <cell r="AB120">
            <v>1812</v>
          </cell>
          <cell r="AC120">
            <v>1713</v>
          </cell>
          <cell r="AD120">
            <v>1620</v>
          </cell>
          <cell r="AE120">
            <v>1504</v>
          </cell>
          <cell r="AF120">
            <v>1389</v>
          </cell>
          <cell r="AG120">
            <v>1258</v>
          </cell>
          <cell r="AH120">
            <v>1115</v>
          </cell>
          <cell r="AI120">
            <v>1665</v>
          </cell>
          <cell r="AJ120">
            <v>1613</v>
          </cell>
          <cell r="AK120">
            <v>1555</v>
          </cell>
          <cell r="AL120">
            <v>1487</v>
          </cell>
          <cell r="AM120">
            <v>1413</v>
          </cell>
          <cell r="AN120">
            <v>1386</v>
          </cell>
          <cell r="AO120">
            <v>1336</v>
          </cell>
          <cell r="AP120">
            <v>1286</v>
          </cell>
          <cell r="AQ120">
            <v>1226</v>
          </cell>
          <cell r="AR120">
            <v>1141</v>
          </cell>
          <cell r="AS120">
            <v>1031</v>
          </cell>
          <cell r="AT120">
            <v>1355</v>
          </cell>
          <cell r="AU120">
            <v>1282</v>
          </cell>
          <cell r="AV120">
            <v>1204</v>
          </cell>
          <cell r="AW120">
            <v>1124</v>
          </cell>
          <cell r="AX120">
            <v>1048</v>
          </cell>
          <cell r="AY120">
            <v>979</v>
          </cell>
          <cell r="AZ120">
            <v>913</v>
          </cell>
          <cell r="BA120">
            <v>849</v>
          </cell>
          <cell r="BB120">
            <v>790</v>
          </cell>
          <cell r="BC120">
            <v>736</v>
          </cell>
          <cell r="BD120">
            <v>687</v>
          </cell>
          <cell r="BE120">
            <v>1355</v>
          </cell>
          <cell r="BF120">
            <v>1282</v>
          </cell>
          <cell r="BG120">
            <v>1204</v>
          </cell>
          <cell r="BH120">
            <v>1124</v>
          </cell>
          <cell r="BI120">
            <v>1048</v>
          </cell>
          <cell r="BJ120">
            <v>700</v>
          </cell>
          <cell r="BK120">
            <v>700</v>
          </cell>
          <cell r="BL120">
            <v>700</v>
          </cell>
          <cell r="BM120">
            <v>700</v>
          </cell>
          <cell r="BN120">
            <v>700</v>
          </cell>
          <cell r="BO120">
            <v>687</v>
          </cell>
        </row>
        <row r="121">
          <cell r="A121" t="str">
            <v>Micronesia</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row>
        <row r="122">
          <cell r="A122" t="str">
            <v>Micronesia (Fed. States of)</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row>
        <row r="123">
          <cell r="A123" t="str">
            <v>Mongolia</v>
          </cell>
          <cell r="B123">
            <v>1003</v>
          </cell>
          <cell r="C123">
            <v>1098</v>
          </cell>
          <cell r="D123">
            <v>1172</v>
          </cell>
          <cell r="E123">
            <v>1232</v>
          </cell>
          <cell r="F123">
            <v>1282</v>
          </cell>
          <cell r="G123">
            <v>1325</v>
          </cell>
          <cell r="H123">
            <v>1362</v>
          </cell>
          <cell r="I123">
            <v>1394</v>
          </cell>
          <cell r="J123">
            <v>1420</v>
          </cell>
          <cell r="K123">
            <v>1441</v>
          </cell>
          <cell r="L123">
            <v>1458</v>
          </cell>
          <cell r="M123">
            <v>78</v>
          </cell>
          <cell r="N123">
            <v>107</v>
          </cell>
          <cell r="O123">
            <v>142</v>
          </cell>
          <cell r="P123">
            <v>181</v>
          </cell>
          <cell r="Q123">
            <v>226</v>
          </cell>
          <cell r="R123">
            <v>275</v>
          </cell>
          <cell r="S123">
            <v>297</v>
          </cell>
          <cell r="T123">
            <v>315</v>
          </cell>
          <cell r="U123">
            <v>330</v>
          </cell>
          <cell r="V123">
            <v>342</v>
          </cell>
          <cell r="W123">
            <v>352</v>
          </cell>
          <cell r="X123">
            <v>5</v>
          </cell>
          <cell r="Y123">
            <v>5</v>
          </cell>
          <cell r="Z123">
            <v>5</v>
          </cell>
          <cell r="AA123">
            <v>6</v>
          </cell>
          <cell r="AB123">
            <v>6</v>
          </cell>
          <cell r="AC123">
            <v>7</v>
          </cell>
          <cell r="AD123">
            <v>7</v>
          </cell>
          <cell r="AE123">
            <v>8</v>
          </cell>
          <cell r="AF123">
            <v>8</v>
          </cell>
          <cell r="AG123">
            <v>8</v>
          </cell>
          <cell r="AH123">
            <v>8</v>
          </cell>
          <cell r="AI123">
            <v>0</v>
          </cell>
          <cell r="AJ123">
            <v>0</v>
          </cell>
          <cell r="AK123">
            <v>0</v>
          </cell>
          <cell r="AL123">
            <v>0</v>
          </cell>
          <cell r="AM123">
            <v>0</v>
          </cell>
          <cell r="AN123">
            <v>0</v>
          </cell>
          <cell r="AO123">
            <v>0</v>
          </cell>
          <cell r="AP123">
            <v>0</v>
          </cell>
          <cell r="AQ123">
            <v>0</v>
          </cell>
          <cell r="AR123">
            <v>0</v>
          </cell>
          <cell r="AS123">
            <v>0</v>
          </cell>
          <cell r="AT123">
            <v>5</v>
          </cell>
          <cell r="AU123">
            <v>5</v>
          </cell>
          <cell r="AV123">
            <v>5</v>
          </cell>
          <cell r="AW123">
            <v>5</v>
          </cell>
          <cell r="AX123">
            <v>5</v>
          </cell>
          <cell r="AY123">
            <v>5</v>
          </cell>
          <cell r="AZ123">
            <v>5</v>
          </cell>
          <cell r="BA123">
            <v>5</v>
          </cell>
          <cell r="BB123">
            <v>4</v>
          </cell>
          <cell r="BC123">
            <v>4</v>
          </cell>
          <cell r="BD123">
            <v>4</v>
          </cell>
          <cell r="BE123">
            <v>4</v>
          </cell>
          <cell r="BF123">
            <v>4</v>
          </cell>
          <cell r="BG123">
            <v>4</v>
          </cell>
          <cell r="BH123">
            <v>4</v>
          </cell>
          <cell r="BI123">
            <v>4</v>
          </cell>
          <cell r="BJ123">
            <v>2</v>
          </cell>
          <cell r="BK123">
            <v>2</v>
          </cell>
          <cell r="BL123">
            <v>2</v>
          </cell>
          <cell r="BM123">
            <v>2</v>
          </cell>
          <cell r="BN123">
            <v>2</v>
          </cell>
          <cell r="BO123">
            <v>2</v>
          </cell>
        </row>
        <row r="124">
          <cell r="A124" t="str">
            <v>Montenegro</v>
          </cell>
          <cell r="B124">
            <v>212</v>
          </cell>
          <cell r="C124">
            <v>224</v>
          </cell>
          <cell r="D124">
            <v>232</v>
          </cell>
          <cell r="E124">
            <v>239</v>
          </cell>
          <cell r="F124">
            <v>243</v>
          </cell>
          <cell r="G124">
            <v>247</v>
          </cell>
          <cell r="H124">
            <v>250</v>
          </cell>
          <cell r="I124">
            <v>252</v>
          </cell>
          <cell r="J124">
            <v>254</v>
          </cell>
          <cell r="K124">
            <v>255</v>
          </cell>
          <cell r="L124">
            <v>256</v>
          </cell>
          <cell r="M124">
            <v>53</v>
          </cell>
          <cell r="N124">
            <v>51</v>
          </cell>
          <cell r="O124">
            <v>49</v>
          </cell>
          <cell r="P124">
            <v>48</v>
          </cell>
          <cell r="Q124">
            <v>46</v>
          </cell>
          <cell r="R124">
            <v>45</v>
          </cell>
          <cell r="S124">
            <v>44</v>
          </cell>
          <cell r="T124">
            <v>43</v>
          </cell>
          <cell r="U124">
            <v>42</v>
          </cell>
          <cell r="V124">
            <v>41</v>
          </cell>
          <cell r="W124">
            <v>41</v>
          </cell>
          <cell r="X124">
            <v>5</v>
          </cell>
          <cell r="Y124">
            <v>5</v>
          </cell>
          <cell r="Z124">
            <v>5</v>
          </cell>
          <cell r="AA124">
            <v>5</v>
          </cell>
          <cell r="AB124">
            <v>6</v>
          </cell>
          <cell r="AC124">
            <v>6</v>
          </cell>
          <cell r="AD124">
            <v>6</v>
          </cell>
          <cell r="AE124">
            <v>6</v>
          </cell>
          <cell r="AF124">
            <v>6</v>
          </cell>
          <cell r="AG124">
            <v>6</v>
          </cell>
          <cell r="AH124">
            <v>6</v>
          </cell>
          <cell r="AI124">
            <v>0</v>
          </cell>
          <cell r="AJ124">
            <v>0</v>
          </cell>
          <cell r="AK124">
            <v>0</v>
          </cell>
          <cell r="AL124">
            <v>0</v>
          </cell>
          <cell r="AM124">
            <v>0</v>
          </cell>
          <cell r="AN124">
            <v>0</v>
          </cell>
          <cell r="AO124">
            <v>0</v>
          </cell>
          <cell r="AP124">
            <v>0</v>
          </cell>
          <cell r="AQ124">
            <v>0</v>
          </cell>
          <cell r="AR124">
            <v>0</v>
          </cell>
          <cell r="AS124">
            <v>0</v>
          </cell>
          <cell r="AT124">
            <v>2</v>
          </cell>
          <cell r="AU124">
            <v>2</v>
          </cell>
          <cell r="AV124">
            <v>2</v>
          </cell>
          <cell r="AW124">
            <v>2</v>
          </cell>
          <cell r="AX124">
            <v>2</v>
          </cell>
          <cell r="AY124">
            <v>2</v>
          </cell>
          <cell r="AZ124">
            <v>2</v>
          </cell>
          <cell r="BA124">
            <v>2</v>
          </cell>
          <cell r="BB124">
            <v>2</v>
          </cell>
          <cell r="BC124">
            <v>2</v>
          </cell>
          <cell r="BD124">
            <v>2</v>
          </cell>
          <cell r="BE124">
            <v>0</v>
          </cell>
          <cell r="BF124">
            <v>0</v>
          </cell>
          <cell r="BG124">
            <v>0</v>
          </cell>
          <cell r="BH124">
            <v>0</v>
          </cell>
          <cell r="BI124">
            <v>0</v>
          </cell>
          <cell r="BJ124">
            <v>0</v>
          </cell>
          <cell r="BK124">
            <v>0</v>
          </cell>
          <cell r="BL124">
            <v>0</v>
          </cell>
          <cell r="BM124">
            <v>0</v>
          </cell>
          <cell r="BN124">
            <v>0</v>
          </cell>
          <cell r="BO124">
            <v>0</v>
          </cell>
        </row>
        <row r="125">
          <cell r="A125" t="str">
            <v>Morocco</v>
          </cell>
          <cell r="B125">
            <v>36714</v>
          </cell>
          <cell r="C125">
            <v>37552</v>
          </cell>
          <cell r="D125">
            <v>38260</v>
          </cell>
          <cell r="E125">
            <v>38910</v>
          </cell>
          <cell r="F125">
            <v>39500</v>
          </cell>
          <cell r="G125">
            <v>40050</v>
          </cell>
          <cell r="H125">
            <v>40571</v>
          </cell>
          <cell r="I125">
            <v>40987</v>
          </cell>
          <cell r="J125">
            <v>41312</v>
          </cell>
          <cell r="K125">
            <v>41563</v>
          </cell>
          <cell r="L125">
            <v>41762</v>
          </cell>
          <cell r="M125">
            <v>6070</v>
          </cell>
          <cell r="N125">
            <v>7259</v>
          </cell>
          <cell r="O125">
            <v>8548</v>
          </cell>
          <cell r="P125">
            <v>9967</v>
          </cell>
          <cell r="Q125">
            <v>11526</v>
          </cell>
          <cell r="R125">
            <v>13232</v>
          </cell>
          <cell r="S125">
            <v>13899</v>
          </cell>
          <cell r="T125">
            <v>14444</v>
          </cell>
          <cell r="U125">
            <v>14885</v>
          </cell>
          <cell r="V125">
            <v>15235</v>
          </cell>
          <cell r="W125">
            <v>15513</v>
          </cell>
          <cell r="X125">
            <v>1168</v>
          </cell>
          <cell r="Y125">
            <v>1284</v>
          </cell>
          <cell r="Z125">
            <v>1356</v>
          </cell>
          <cell r="AA125">
            <v>1413</v>
          </cell>
          <cell r="AB125">
            <v>1451</v>
          </cell>
          <cell r="AC125">
            <v>1475</v>
          </cell>
          <cell r="AD125">
            <v>1482</v>
          </cell>
          <cell r="AE125">
            <v>1477</v>
          </cell>
          <cell r="AF125">
            <v>1462</v>
          </cell>
          <cell r="AG125">
            <v>1434</v>
          </cell>
          <cell r="AH125">
            <v>1390</v>
          </cell>
          <cell r="AI125">
            <v>585</v>
          </cell>
          <cell r="AJ125">
            <v>688</v>
          </cell>
          <cell r="AK125">
            <v>784</v>
          </cell>
          <cell r="AL125">
            <v>846</v>
          </cell>
          <cell r="AM125">
            <v>892</v>
          </cell>
          <cell r="AN125">
            <v>900</v>
          </cell>
          <cell r="AO125">
            <v>924</v>
          </cell>
          <cell r="AP125">
            <v>932</v>
          </cell>
          <cell r="AQ125">
            <v>931</v>
          </cell>
          <cell r="AR125">
            <v>923</v>
          </cell>
          <cell r="AS125">
            <v>896</v>
          </cell>
          <cell r="AT125">
            <v>659</v>
          </cell>
          <cell r="AU125">
            <v>638</v>
          </cell>
          <cell r="AV125">
            <v>617</v>
          </cell>
          <cell r="AW125">
            <v>600</v>
          </cell>
          <cell r="AX125">
            <v>584</v>
          </cell>
          <cell r="AY125">
            <v>569</v>
          </cell>
          <cell r="AZ125">
            <v>551</v>
          </cell>
          <cell r="BA125">
            <v>529</v>
          </cell>
          <cell r="BB125">
            <v>507</v>
          </cell>
          <cell r="BC125">
            <v>486</v>
          </cell>
          <cell r="BD125">
            <v>464</v>
          </cell>
          <cell r="BE125">
            <v>280</v>
          </cell>
          <cell r="BF125">
            <v>320</v>
          </cell>
          <cell r="BG125">
            <v>360</v>
          </cell>
          <cell r="BH125">
            <v>400</v>
          </cell>
          <cell r="BI125">
            <v>440</v>
          </cell>
          <cell r="BJ125">
            <v>480</v>
          </cell>
          <cell r="BK125">
            <v>480</v>
          </cell>
          <cell r="BL125">
            <v>480</v>
          </cell>
          <cell r="BM125">
            <v>480</v>
          </cell>
          <cell r="BN125">
            <v>480</v>
          </cell>
          <cell r="BO125">
            <v>464</v>
          </cell>
        </row>
        <row r="126">
          <cell r="A126" t="str">
            <v>Mozambique</v>
          </cell>
          <cell r="B126">
            <v>1540529</v>
          </cell>
          <cell r="C126">
            <v>1586821</v>
          </cell>
          <cell r="D126">
            <v>1635276</v>
          </cell>
          <cell r="E126">
            <v>1688341</v>
          </cell>
          <cell r="F126">
            <v>1745421</v>
          </cell>
          <cell r="G126">
            <v>1802687</v>
          </cell>
          <cell r="H126">
            <v>1861671</v>
          </cell>
          <cell r="I126">
            <v>1921636</v>
          </cell>
          <cell r="J126">
            <v>1983208</v>
          </cell>
          <cell r="K126">
            <v>2046613</v>
          </cell>
          <cell r="L126">
            <v>2112818</v>
          </cell>
          <cell r="M126">
            <v>532378</v>
          </cell>
          <cell r="N126">
            <v>633081</v>
          </cell>
          <cell r="O126">
            <v>716681</v>
          </cell>
          <cell r="P126">
            <v>816579</v>
          </cell>
          <cell r="Q126">
            <v>872453</v>
          </cell>
          <cell r="R126">
            <v>926178</v>
          </cell>
          <cell r="S126">
            <v>977799</v>
          </cell>
          <cell r="T126">
            <v>1027179</v>
          </cell>
          <cell r="U126">
            <v>1075116</v>
          </cell>
          <cell r="V126">
            <v>1122065</v>
          </cell>
          <cell r="W126">
            <v>1169798</v>
          </cell>
          <cell r="X126">
            <v>191706</v>
          </cell>
          <cell r="Y126">
            <v>195460</v>
          </cell>
          <cell r="Z126">
            <v>197123</v>
          </cell>
          <cell r="AA126">
            <v>197700</v>
          </cell>
          <cell r="AB126">
            <v>197267</v>
          </cell>
          <cell r="AC126">
            <v>201877</v>
          </cell>
          <cell r="AD126">
            <v>209090</v>
          </cell>
          <cell r="AE126">
            <v>215337</v>
          </cell>
          <cell r="AF126">
            <v>221776</v>
          </cell>
          <cell r="AG126">
            <v>227117</v>
          </cell>
          <cell r="AH126">
            <v>230735</v>
          </cell>
          <cell r="AI126">
            <v>77275</v>
          </cell>
          <cell r="AJ126">
            <v>84495</v>
          </cell>
          <cell r="AK126">
            <v>98157</v>
          </cell>
          <cell r="AL126">
            <v>103786</v>
          </cell>
          <cell r="AM126">
            <v>112623</v>
          </cell>
          <cell r="AN126">
            <v>126953</v>
          </cell>
          <cell r="AO126">
            <v>137918</v>
          </cell>
          <cell r="AP126">
            <v>150833</v>
          </cell>
          <cell r="AQ126">
            <v>161944</v>
          </cell>
          <cell r="AR126">
            <v>171651</v>
          </cell>
          <cell r="AS126">
            <v>178224</v>
          </cell>
          <cell r="AT126">
            <v>105762</v>
          </cell>
          <cell r="AU126">
            <v>105301</v>
          </cell>
          <cell r="AV126">
            <v>104564</v>
          </cell>
          <cell r="AW126">
            <v>103842</v>
          </cell>
          <cell r="AX126">
            <v>103139</v>
          </cell>
          <cell r="AY126">
            <v>102334</v>
          </cell>
          <cell r="AZ126">
            <v>101635</v>
          </cell>
          <cell r="BA126">
            <v>101114</v>
          </cell>
          <cell r="BB126">
            <v>100807</v>
          </cell>
          <cell r="BC126">
            <v>100734</v>
          </cell>
          <cell r="BD126">
            <v>100915</v>
          </cell>
          <cell r="BE126">
            <v>81426</v>
          </cell>
          <cell r="BF126">
            <v>82329</v>
          </cell>
          <cell r="BG126">
            <v>80862</v>
          </cell>
          <cell r="BH126">
            <v>79325</v>
          </cell>
          <cell r="BI126">
            <v>78011</v>
          </cell>
          <cell r="BJ126">
            <v>50773</v>
          </cell>
          <cell r="BK126">
            <v>50773</v>
          </cell>
          <cell r="BL126">
            <v>50773</v>
          </cell>
          <cell r="BM126">
            <v>50773</v>
          </cell>
          <cell r="BN126">
            <v>50773</v>
          </cell>
          <cell r="BO126">
            <v>50773</v>
          </cell>
        </row>
        <row r="127">
          <cell r="A127" t="str">
            <v>Myanmar</v>
          </cell>
          <cell r="B127">
            <v>163488</v>
          </cell>
          <cell r="C127">
            <v>160312</v>
          </cell>
          <cell r="D127">
            <v>156878</v>
          </cell>
          <cell r="E127">
            <v>153019</v>
          </cell>
          <cell r="F127">
            <v>148914</v>
          </cell>
          <cell r="G127">
            <v>144669</v>
          </cell>
          <cell r="H127">
            <v>140539</v>
          </cell>
          <cell r="I127">
            <v>136559</v>
          </cell>
          <cell r="J127">
            <v>132749</v>
          </cell>
          <cell r="K127">
            <v>129113</v>
          </cell>
          <cell r="L127">
            <v>125676</v>
          </cell>
          <cell r="M127">
            <v>64391</v>
          </cell>
          <cell r="N127">
            <v>71189</v>
          </cell>
          <cell r="O127">
            <v>71683</v>
          </cell>
          <cell r="P127">
            <v>71680</v>
          </cell>
          <cell r="Q127">
            <v>71319</v>
          </cell>
          <cell r="R127">
            <v>70652</v>
          </cell>
          <cell r="S127">
            <v>69689</v>
          </cell>
          <cell r="T127">
            <v>68509</v>
          </cell>
          <cell r="U127">
            <v>67195</v>
          </cell>
          <cell r="V127">
            <v>65816</v>
          </cell>
          <cell r="W127">
            <v>64356</v>
          </cell>
          <cell r="X127">
            <v>11069</v>
          </cell>
          <cell r="Y127">
            <v>10986</v>
          </cell>
          <cell r="Z127">
            <v>11043</v>
          </cell>
          <cell r="AA127">
            <v>10982</v>
          </cell>
          <cell r="AB127">
            <v>10865</v>
          </cell>
          <cell r="AC127">
            <v>10640</v>
          </cell>
          <cell r="AD127">
            <v>10314</v>
          </cell>
          <cell r="AE127">
            <v>9905</v>
          </cell>
          <cell r="AF127">
            <v>9430</v>
          </cell>
          <cell r="AG127">
            <v>8911</v>
          </cell>
          <cell r="AH127">
            <v>8348</v>
          </cell>
          <cell r="AI127">
            <v>5864</v>
          </cell>
          <cell r="AJ127">
            <v>6316</v>
          </cell>
          <cell r="AK127">
            <v>6742</v>
          </cell>
          <cell r="AL127">
            <v>7243</v>
          </cell>
          <cell r="AM127">
            <v>7677</v>
          </cell>
          <cell r="AN127">
            <v>7975</v>
          </cell>
          <cell r="AO127">
            <v>8104</v>
          </cell>
          <cell r="AP127">
            <v>8091</v>
          </cell>
          <cell r="AQ127">
            <v>7943</v>
          </cell>
          <cell r="AR127">
            <v>7630</v>
          </cell>
          <cell r="AS127">
            <v>7262</v>
          </cell>
          <cell r="AT127">
            <v>3081</v>
          </cell>
          <cell r="AU127">
            <v>2908</v>
          </cell>
          <cell r="AV127">
            <v>2721</v>
          </cell>
          <cell r="AW127">
            <v>2520</v>
          </cell>
          <cell r="AX127">
            <v>2315</v>
          </cell>
          <cell r="AY127">
            <v>2113</v>
          </cell>
          <cell r="AZ127">
            <v>1920</v>
          </cell>
          <cell r="BA127">
            <v>1742</v>
          </cell>
          <cell r="BB127">
            <v>1582</v>
          </cell>
          <cell r="BC127">
            <v>1441</v>
          </cell>
          <cell r="BD127">
            <v>1319</v>
          </cell>
          <cell r="BE127">
            <v>3081</v>
          </cell>
          <cell r="BF127">
            <v>2908</v>
          </cell>
          <cell r="BG127">
            <v>2721</v>
          </cell>
          <cell r="BH127">
            <v>2520</v>
          </cell>
          <cell r="BI127">
            <v>2315</v>
          </cell>
          <cell r="BJ127">
            <v>2113</v>
          </cell>
          <cell r="BK127">
            <v>1920</v>
          </cell>
          <cell r="BL127">
            <v>1742</v>
          </cell>
          <cell r="BM127">
            <v>1582</v>
          </cell>
          <cell r="BN127">
            <v>1441</v>
          </cell>
          <cell r="BO127">
            <v>1319</v>
          </cell>
        </row>
        <row r="128">
          <cell r="A128" t="str">
            <v>Namibia</v>
          </cell>
          <cell r="B128">
            <v>227915</v>
          </cell>
          <cell r="C128">
            <v>229211</v>
          </cell>
          <cell r="D128">
            <v>230553</v>
          </cell>
          <cell r="E128">
            <v>232033</v>
          </cell>
          <cell r="F128">
            <v>233690</v>
          </cell>
          <cell r="G128">
            <v>235493</v>
          </cell>
          <cell r="H128">
            <v>237544</v>
          </cell>
          <cell r="I128">
            <v>239556</v>
          </cell>
          <cell r="J128">
            <v>241399</v>
          </cell>
          <cell r="K128">
            <v>242959</v>
          </cell>
          <cell r="L128">
            <v>244277</v>
          </cell>
          <cell r="M128">
            <v>125171</v>
          </cell>
          <cell r="N128">
            <v>133708</v>
          </cell>
          <cell r="O128">
            <v>142298</v>
          </cell>
          <cell r="P128">
            <v>151011</v>
          </cell>
          <cell r="Q128">
            <v>159941</v>
          </cell>
          <cell r="R128">
            <v>169056</v>
          </cell>
          <cell r="S128">
            <v>174679</v>
          </cell>
          <cell r="T128">
            <v>179689</v>
          </cell>
          <cell r="U128">
            <v>184055</v>
          </cell>
          <cell r="V128">
            <v>187666</v>
          </cell>
          <cell r="W128">
            <v>190639</v>
          </cell>
          <cell r="X128">
            <v>20871</v>
          </cell>
          <cell r="Y128">
            <v>19596</v>
          </cell>
          <cell r="Z128">
            <v>18185</v>
          </cell>
          <cell r="AA128">
            <v>16607</v>
          </cell>
          <cell r="AB128">
            <v>14847</v>
          </cell>
          <cell r="AC128">
            <v>15147</v>
          </cell>
          <cell r="AD128">
            <v>16362</v>
          </cell>
          <cell r="AE128">
            <v>17699</v>
          </cell>
          <cell r="AF128">
            <v>19205</v>
          </cell>
          <cell r="AG128">
            <v>20747</v>
          </cell>
          <cell r="AH128">
            <v>22379</v>
          </cell>
          <cell r="AI128">
            <v>11325</v>
          </cell>
          <cell r="AJ128">
            <v>11541</v>
          </cell>
          <cell r="AK128">
            <v>11591</v>
          </cell>
          <cell r="AL128">
            <v>11320</v>
          </cell>
          <cell r="AM128">
            <v>10759</v>
          </cell>
          <cell r="AN128">
            <v>11525</v>
          </cell>
          <cell r="AO128">
            <v>12366</v>
          </cell>
          <cell r="AP128">
            <v>14099</v>
          </cell>
          <cell r="AQ128">
            <v>15906</v>
          </cell>
          <cell r="AR128">
            <v>17791</v>
          </cell>
          <cell r="AS128">
            <v>19742</v>
          </cell>
          <cell r="AT128">
            <v>9912</v>
          </cell>
          <cell r="AU128">
            <v>9501</v>
          </cell>
          <cell r="AV128">
            <v>9032</v>
          </cell>
          <cell r="AW128">
            <v>8554</v>
          </cell>
          <cell r="AX128">
            <v>8067</v>
          </cell>
          <cell r="AY128">
            <v>7583</v>
          </cell>
          <cell r="AZ128">
            <v>7120</v>
          </cell>
          <cell r="BA128">
            <v>6689</v>
          </cell>
          <cell r="BB128">
            <v>6292</v>
          </cell>
          <cell r="BC128">
            <v>5930</v>
          </cell>
          <cell r="BD128">
            <v>5607</v>
          </cell>
          <cell r="BE128">
            <v>9912</v>
          </cell>
          <cell r="BF128">
            <v>9501</v>
          </cell>
          <cell r="BG128">
            <v>9032</v>
          </cell>
          <cell r="BH128">
            <v>8554</v>
          </cell>
          <cell r="BI128">
            <v>8067</v>
          </cell>
          <cell r="BJ128">
            <v>0</v>
          </cell>
          <cell r="BK128">
            <v>0</v>
          </cell>
          <cell r="BL128">
            <v>0</v>
          </cell>
          <cell r="BM128">
            <v>0</v>
          </cell>
          <cell r="BN128">
            <v>0</v>
          </cell>
          <cell r="BO128">
            <v>0</v>
          </cell>
        </row>
        <row r="129">
          <cell r="A129" t="str">
            <v>Nepal</v>
          </cell>
          <cell r="B129">
            <v>43968</v>
          </cell>
          <cell r="C129">
            <v>43798</v>
          </cell>
          <cell r="D129">
            <v>43627</v>
          </cell>
          <cell r="E129">
            <v>43356</v>
          </cell>
          <cell r="F129">
            <v>42981</v>
          </cell>
          <cell r="G129">
            <v>42507</v>
          </cell>
          <cell r="H129">
            <v>41985</v>
          </cell>
          <cell r="I129">
            <v>41437</v>
          </cell>
          <cell r="J129">
            <v>40889</v>
          </cell>
          <cell r="K129">
            <v>40345</v>
          </cell>
          <cell r="L129">
            <v>39814</v>
          </cell>
          <cell r="M129">
            <v>16799</v>
          </cell>
          <cell r="N129">
            <v>20488</v>
          </cell>
          <cell r="O129">
            <v>21607</v>
          </cell>
          <cell r="P129">
            <v>22463</v>
          </cell>
          <cell r="Q129">
            <v>23080</v>
          </cell>
          <cell r="R129">
            <v>23487</v>
          </cell>
          <cell r="S129">
            <v>23715</v>
          </cell>
          <cell r="T129">
            <v>23806</v>
          </cell>
          <cell r="U129">
            <v>23801</v>
          </cell>
          <cell r="V129">
            <v>23720</v>
          </cell>
          <cell r="W129">
            <v>23576</v>
          </cell>
          <cell r="X129">
            <v>1739</v>
          </cell>
          <cell r="Y129">
            <v>1633</v>
          </cell>
          <cell r="Z129">
            <v>1537</v>
          </cell>
          <cell r="AA129">
            <v>1455</v>
          </cell>
          <cell r="AB129">
            <v>1379</v>
          </cell>
          <cell r="AC129">
            <v>1322</v>
          </cell>
          <cell r="AD129">
            <v>1266</v>
          </cell>
          <cell r="AE129">
            <v>1198</v>
          </cell>
          <cell r="AF129">
            <v>1126</v>
          </cell>
          <cell r="AG129">
            <v>1055</v>
          </cell>
          <cell r="AH129">
            <v>989</v>
          </cell>
          <cell r="AI129">
            <v>607</v>
          </cell>
          <cell r="AJ129">
            <v>667</v>
          </cell>
          <cell r="AK129">
            <v>732</v>
          </cell>
          <cell r="AL129">
            <v>784</v>
          </cell>
          <cell r="AM129">
            <v>814</v>
          </cell>
          <cell r="AN129">
            <v>878</v>
          </cell>
          <cell r="AO129">
            <v>905</v>
          </cell>
          <cell r="AP129">
            <v>915</v>
          </cell>
          <cell r="AQ129">
            <v>895</v>
          </cell>
          <cell r="AR129">
            <v>858</v>
          </cell>
          <cell r="AS129">
            <v>823</v>
          </cell>
          <cell r="AT129">
            <v>315</v>
          </cell>
          <cell r="AU129">
            <v>290</v>
          </cell>
          <cell r="AV129">
            <v>266</v>
          </cell>
          <cell r="AW129">
            <v>243</v>
          </cell>
          <cell r="AX129">
            <v>221</v>
          </cell>
          <cell r="AY129">
            <v>201</v>
          </cell>
          <cell r="AZ129">
            <v>183</v>
          </cell>
          <cell r="BA129">
            <v>165</v>
          </cell>
          <cell r="BB129">
            <v>149</v>
          </cell>
          <cell r="BC129">
            <v>134</v>
          </cell>
          <cell r="BD129">
            <v>121</v>
          </cell>
          <cell r="BE129">
            <v>188</v>
          </cell>
          <cell r="BF129">
            <v>195</v>
          </cell>
          <cell r="BG129">
            <v>198</v>
          </cell>
          <cell r="BH129">
            <v>193</v>
          </cell>
          <cell r="BI129">
            <v>185</v>
          </cell>
          <cell r="BJ129">
            <v>110</v>
          </cell>
          <cell r="BK129">
            <v>110</v>
          </cell>
          <cell r="BL129">
            <v>110</v>
          </cell>
          <cell r="BM129">
            <v>110</v>
          </cell>
          <cell r="BN129">
            <v>110</v>
          </cell>
          <cell r="BO129">
            <v>110</v>
          </cell>
        </row>
        <row r="130">
          <cell r="A130" t="str">
            <v>Netherlands</v>
          </cell>
          <cell r="B130">
            <v>23197</v>
          </cell>
          <cell r="C130">
            <v>23783</v>
          </cell>
          <cell r="D130">
            <v>24355</v>
          </cell>
          <cell r="E130">
            <v>24911</v>
          </cell>
          <cell r="F130">
            <v>25450</v>
          </cell>
          <cell r="G130">
            <v>25971</v>
          </cell>
          <cell r="H130">
            <v>26472</v>
          </cell>
          <cell r="I130">
            <v>26954</v>
          </cell>
          <cell r="J130">
            <v>27418</v>
          </cell>
          <cell r="K130">
            <v>27860</v>
          </cell>
          <cell r="L130">
            <v>28285</v>
          </cell>
          <cell r="M130">
            <v>17131</v>
          </cell>
          <cell r="N130">
            <v>17746</v>
          </cell>
          <cell r="O130">
            <v>18343</v>
          </cell>
          <cell r="P130">
            <v>18921</v>
          </cell>
          <cell r="Q130">
            <v>19480</v>
          </cell>
          <cell r="R130">
            <v>20022</v>
          </cell>
          <cell r="S130">
            <v>20546</v>
          </cell>
          <cell r="T130">
            <v>21050</v>
          </cell>
          <cell r="U130">
            <v>21536</v>
          </cell>
          <cell r="V130">
            <v>22002</v>
          </cell>
          <cell r="W130">
            <v>22449</v>
          </cell>
          <cell r="X130">
            <v>198</v>
          </cell>
          <cell r="Y130">
            <v>197</v>
          </cell>
          <cell r="Z130">
            <v>195</v>
          </cell>
          <cell r="AA130">
            <v>194</v>
          </cell>
          <cell r="AB130">
            <v>193</v>
          </cell>
          <cell r="AC130">
            <v>193</v>
          </cell>
          <cell r="AD130">
            <v>193</v>
          </cell>
          <cell r="AE130">
            <v>193</v>
          </cell>
          <cell r="AF130">
            <v>194</v>
          </cell>
          <cell r="AG130">
            <v>198</v>
          </cell>
          <cell r="AH130">
            <v>199</v>
          </cell>
          <cell r="AI130">
            <v>0</v>
          </cell>
          <cell r="AJ130">
            <v>0</v>
          </cell>
          <cell r="AK130">
            <v>0</v>
          </cell>
          <cell r="AL130">
            <v>0</v>
          </cell>
          <cell r="AM130">
            <v>0</v>
          </cell>
          <cell r="AN130">
            <v>0</v>
          </cell>
          <cell r="AO130">
            <v>0</v>
          </cell>
          <cell r="AP130">
            <v>0</v>
          </cell>
          <cell r="AQ130">
            <v>0</v>
          </cell>
          <cell r="AR130">
            <v>0</v>
          </cell>
          <cell r="AS130">
            <v>0</v>
          </cell>
          <cell r="AT130">
            <v>76</v>
          </cell>
          <cell r="AU130">
            <v>76</v>
          </cell>
          <cell r="AV130">
            <v>77</v>
          </cell>
          <cell r="AW130">
            <v>77</v>
          </cell>
          <cell r="AX130">
            <v>78</v>
          </cell>
          <cell r="AY130">
            <v>79</v>
          </cell>
          <cell r="AZ130">
            <v>80</v>
          </cell>
          <cell r="BA130">
            <v>81</v>
          </cell>
          <cell r="BB130">
            <v>81</v>
          </cell>
          <cell r="BC130">
            <v>82</v>
          </cell>
          <cell r="BD130">
            <v>83</v>
          </cell>
          <cell r="BE130">
            <v>76</v>
          </cell>
          <cell r="BF130">
            <v>76</v>
          </cell>
          <cell r="BG130">
            <v>76</v>
          </cell>
          <cell r="BH130">
            <v>75</v>
          </cell>
          <cell r="BI130">
            <v>75</v>
          </cell>
          <cell r="BJ130">
            <v>75</v>
          </cell>
          <cell r="BK130">
            <v>75</v>
          </cell>
          <cell r="BL130">
            <v>75</v>
          </cell>
          <cell r="BM130">
            <v>75</v>
          </cell>
          <cell r="BN130">
            <v>75</v>
          </cell>
          <cell r="BO130">
            <v>75</v>
          </cell>
        </row>
        <row r="131">
          <cell r="A131" t="str">
            <v>New Caledonia</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row>
        <row r="132">
          <cell r="A132" t="str">
            <v>New Zealand</v>
          </cell>
          <cell r="B132">
            <v>2893</v>
          </cell>
          <cell r="C132">
            <v>3018</v>
          </cell>
          <cell r="D132">
            <v>3142</v>
          </cell>
          <cell r="E132">
            <v>3266</v>
          </cell>
          <cell r="F132">
            <v>3389</v>
          </cell>
          <cell r="G132">
            <v>3511</v>
          </cell>
          <cell r="H132">
            <v>3633</v>
          </cell>
          <cell r="I132">
            <v>3754</v>
          </cell>
          <cell r="J132">
            <v>3875</v>
          </cell>
          <cell r="K132">
            <v>3996</v>
          </cell>
          <cell r="L132">
            <v>4117</v>
          </cell>
          <cell r="M132">
            <v>1927</v>
          </cell>
          <cell r="N132">
            <v>2042</v>
          </cell>
          <cell r="O132">
            <v>2157</v>
          </cell>
          <cell r="P132">
            <v>2273</v>
          </cell>
          <cell r="Q132">
            <v>2388</v>
          </cell>
          <cell r="R132">
            <v>2504</v>
          </cell>
          <cell r="S132">
            <v>2619</v>
          </cell>
          <cell r="T132">
            <v>2734</v>
          </cell>
          <cell r="U132">
            <v>2849</v>
          </cell>
          <cell r="V132">
            <v>2964</v>
          </cell>
          <cell r="W132">
            <v>3078</v>
          </cell>
          <cell r="X132">
            <v>25</v>
          </cell>
          <cell r="Y132">
            <v>29</v>
          </cell>
          <cell r="Z132">
            <v>31</v>
          </cell>
          <cell r="AA132">
            <v>34</v>
          </cell>
          <cell r="AB132">
            <v>37</v>
          </cell>
          <cell r="AC132">
            <v>48</v>
          </cell>
          <cell r="AD132">
            <v>64</v>
          </cell>
          <cell r="AE132">
            <v>79</v>
          </cell>
          <cell r="AF132">
            <v>95</v>
          </cell>
          <cell r="AG132">
            <v>111</v>
          </cell>
          <cell r="AH132">
            <v>124</v>
          </cell>
          <cell r="AI132">
            <v>13</v>
          </cell>
          <cell r="AJ132">
            <v>15</v>
          </cell>
          <cell r="AK132">
            <v>17</v>
          </cell>
          <cell r="AL132">
            <v>19</v>
          </cell>
          <cell r="AM132">
            <v>21</v>
          </cell>
          <cell r="AN132">
            <v>33</v>
          </cell>
          <cell r="AO132">
            <v>44</v>
          </cell>
          <cell r="AP132">
            <v>59</v>
          </cell>
          <cell r="AQ132">
            <v>73</v>
          </cell>
          <cell r="AR132">
            <v>88</v>
          </cell>
          <cell r="AS132">
            <v>102</v>
          </cell>
          <cell r="AT132">
            <v>20</v>
          </cell>
          <cell r="AU132">
            <v>21</v>
          </cell>
          <cell r="AV132">
            <v>22</v>
          </cell>
          <cell r="AW132">
            <v>22</v>
          </cell>
          <cell r="AX132">
            <v>23</v>
          </cell>
          <cell r="AY132">
            <v>24</v>
          </cell>
          <cell r="AZ132">
            <v>24</v>
          </cell>
          <cell r="BA132">
            <v>25</v>
          </cell>
          <cell r="BB132">
            <v>25</v>
          </cell>
          <cell r="BC132">
            <v>25</v>
          </cell>
          <cell r="BD132">
            <v>26</v>
          </cell>
          <cell r="BE132">
            <v>19</v>
          </cell>
          <cell r="BF132">
            <v>19</v>
          </cell>
          <cell r="BG132">
            <v>20</v>
          </cell>
          <cell r="BH132">
            <v>20</v>
          </cell>
          <cell r="BI132">
            <v>21</v>
          </cell>
          <cell r="BJ132">
            <v>0</v>
          </cell>
          <cell r="BK132">
            <v>0</v>
          </cell>
          <cell r="BL132">
            <v>0</v>
          </cell>
          <cell r="BM132">
            <v>0</v>
          </cell>
          <cell r="BN132">
            <v>0</v>
          </cell>
          <cell r="BO132">
            <v>0</v>
          </cell>
        </row>
        <row r="133">
          <cell r="A133" t="str">
            <v>Nicaragua</v>
          </cell>
          <cell r="B133">
            <v>8830</v>
          </cell>
          <cell r="C133">
            <v>9456</v>
          </cell>
          <cell r="D133">
            <v>10173</v>
          </cell>
          <cell r="E133">
            <v>10991</v>
          </cell>
          <cell r="F133">
            <v>11921</v>
          </cell>
          <cell r="G133">
            <v>12971</v>
          </cell>
          <cell r="H133">
            <v>14004</v>
          </cell>
          <cell r="I133">
            <v>15016</v>
          </cell>
          <cell r="J133">
            <v>16002</v>
          </cell>
          <cell r="K133">
            <v>16954</v>
          </cell>
          <cell r="L133">
            <v>17877</v>
          </cell>
          <cell r="M133">
            <v>2189</v>
          </cell>
          <cell r="N133">
            <v>2446</v>
          </cell>
          <cell r="O133">
            <v>2704</v>
          </cell>
          <cell r="P133">
            <v>2967</v>
          </cell>
          <cell r="Q133">
            <v>3231</v>
          </cell>
          <cell r="R133">
            <v>3495</v>
          </cell>
          <cell r="S133">
            <v>3791</v>
          </cell>
          <cell r="T133">
            <v>4111</v>
          </cell>
          <cell r="U133">
            <v>4447</v>
          </cell>
          <cell r="V133">
            <v>4791</v>
          </cell>
          <cell r="W133">
            <v>5142</v>
          </cell>
          <cell r="X133">
            <v>265</v>
          </cell>
          <cell r="Y133">
            <v>303</v>
          </cell>
          <cell r="Z133">
            <v>339</v>
          </cell>
          <cell r="AA133">
            <v>377</v>
          </cell>
          <cell r="AB133">
            <v>413</v>
          </cell>
          <cell r="AC133">
            <v>454</v>
          </cell>
          <cell r="AD133">
            <v>496</v>
          </cell>
          <cell r="AE133">
            <v>537</v>
          </cell>
          <cell r="AF133">
            <v>580</v>
          </cell>
          <cell r="AG133">
            <v>629</v>
          </cell>
          <cell r="AH133">
            <v>678</v>
          </cell>
          <cell r="AI133">
            <v>162</v>
          </cell>
          <cell r="AJ133">
            <v>199</v>
          </cell>
          <cell r="AK133">
            <v>238</v>
          </cell>
          <cell r="AL133">
            <v>278</v>
          </cell>
          <cell r="AM133">
            <v>317</v>
          </cell>
          <cell r="AN133">
            <v>366</v>
          </cell>
          <cell r="AO133">
            <v>408</v>
          </cell>
          <cell r="AP133">
            <v>452</v>
          </cell>
          <cell r="AQ133">
            <v>498</v>
          </cell>
          <cell r="AR133">
            <v>547</v>
          </cell>
          <cell r="AS133">
            <v>596</v>
          </cell>
          <cell r="AT133">
            <v>129</v>
          </cell>
          <cell r="AU133">
            <v>133</v>
          </cell>
          <cell r="AV133">
            <v>139</v>
          </cell>
          <cell r="AW133">
            <v>146</v>
          </cell>
          <cell r="AX133">
            <v>154</v>
          </cell>
          <cell r="AY133">
            <v>164</v>
          </cell>
          <cell r="AZ133">
            <v>173</v>
          </cell>
          <cell r="BA133">
            <v>182</v>
          </cell>
          <cell r="BB133">
            <v>189</v>
          </cell>
          <cell r="BC133">
            <v>195</v>
          </cell>
          <cell r="BD133">
            <v>201</v>
          </cell>
          <cell r="BE133">
            <v>129</v>
          </cell>
          <cell r="BF133">
            <v>133</v>
          </cell>
          <cell r="BG133">
            <v>139</v>
          </cell>
          <cell r="BH133">
            <v>146</v>
          </cell>
          <cell r="BI133">
            <v>154</v>
          </cell>
          <cell r="BJ133">
            <v>164</v>
          </cell>
          <cell r="BK133">
            <v>173</v>
          </cell>
          <cell r="BL133">
            <v>182</v>
          </cell>
          <cell r="BM133">
            <v>189</v>
          </cell>
          <cell r="BN133">
            <v>195</v>
          </cell>
          <cell r="BO133">
            <v>201</v>
          </cell>
        </row>
        <row r="134">
          <cell r="A134" t="str">
            <v>Niger</v>
          </cell>
          <cell r="B134">
            <v>33227</v>
          </cell>
          <cell r="C134">
            <v>31371</v>
          </cell>
          <cell r="D134">
            <v>29554</v>
          </cell>
          <cell r="E134">
            <v>27831</v>
          </cell>
          <cell r="F134">
            <v>26230</v>
          </cell>
          <cell r="G134">
            <v>24773</v>
          </cell>
          <cell r="H134">
            <v>23481</v>
          </cell>
          <cell r="I134">
            <v>22343</v>
          </cell>
          <cell r="J134">
            <v>21350</v>
          </cell>
          <cell r="K134">
            <v>20481</v>
          </cell>
          <cell r="L134">
            <v>19692</v>
          </cell>
          <cell r="M134">
            <v>11160</v>
          </cell>
          <cell r="N134">
            <v>10941</v>
          </cell>
          <cell r="O134">
            <v>10642</v>
          </cell>
          <cell r="P134">
            <v>10305</v>
          </cell>
          <cell r="Q134">
            <v>9954</v>
          </cell>
          <cell r="R134">
            <v>9618</v>
          </cell>
          <cell r="S134">
            <v>9237</v>
          </cell>
          <cell r="T134">
            <v>8886</v>
          </cell>
          <cell r="U134">
            <v>8571</v>
          </cell>
          <cell r="V134">
            <v>8284</v>
          </cell>
          <cell r="W134">
            <v>8003</v>
          </cell>
          <cell r="X134">
            <v>6386</v>
          </cell>
          <cell r="Y134">
            <v>6126</v>
          </cell>
          <cell r="Z134">
            <v>5853</v>
          </cell>
          <cell r="AA134">
            <v>5585</v>
          </cell>
          <cell r="AB134">
            <v>5321</v>
          </cell>
          <cell r="AC134">
            <v>5075</v>
          </cell>
          <cell r="AD134">
            <v>4849</v>
          </cell>
          <cell r="AE134">
            <v>4601</v>
          </cell>
          <cell r="AF134">
            <v>4325</v>
          </cell>
          <cell r="AG134">
            <v>4052</v>
          </cell>
          <cell r="AH134">
            <v>3823</v>
          </cell>
          <cell r="AI134">
            <v>955</v>
          </cell>
          <cell r="AJ134">
            <v>1139</v>
          </cell>
          <cell r="AK134">
            <v>1370</v>
          </cell>
          <cell r="AL134">
            <v>1602</v>
          </cell>
          <cell r="AM134">
            <v>1857</v>
          </cell>
          <cell r="AN134">
            <v>2078</v>
          </cell>
          <cell r="AO134">
            <v>2143</v>
          </cell>
          <cell r="AP134">
            <v>2195</v>
          </cell>
          <cell r="AQ134">
            <v>2193</v>
          </cell>
          <cell r="AR134">
            <v>2146</v>
          </cell>
          <cell r="AS134">
            <v>2095</v>
          </cell>
          <cell r="AT134">
            <v>2230</v>
          </cell>
          <cell r="AU134">
            <v>2011</v>
          </cell>
          <cell r="AV134">
            <v>1809</v>
          </cell>
          <cell r="AW134">
            <v>1627</v>
          </cell>
          <cell r="AX134">
            <v>1464</v>
          </cell>
          <cell r="AY134">
            <v>1320</v>
          </cell>
          <cell r="AZ134">
            <v>1194</v>
          </cell>
          <cell r="BA134">
            <v>1087</v>
          </cell>
          <cell r="BB134">
            <v>997</v>
          </cell>
          <cell r="BC134">
            <v>921</v>
          </cell>
          <cell r="BD134">
            <v>855</v>
          </cell>
          <cell r="BE134">
            <v>1588</v>
          </cell>
          <cell r="BF134">
            <v>1420</v>
          </cell>
          <cell r="BG134">
            <v>1261</v>
          </cell>
          <cell r="BH134">
            <v>1116</v>
          </cell>
          <cell r="BI134">
            <v>985</v>
          </cell>
          <cell r="BJ134">
            <v>868</v>
          </cell>
          <cell r="BK134">
            <v>868</v>
          </cell>
          <cell r="BL134">
            <v>868</v>
          </cell>
          <cell r="BM134">
            <v>868</v>
          </cell>
          <cell r="BN134">
            <v>868</v>
          </cell>
          <cell r="BO134">
            <v>855</v>
          </cell>
        </row>
        <row r="135">
          <cell r="A135" t="str">
            <v>Nigeria</v>
          </cell>
          <cell r="B135">
            <v>3182615</v>
          </cell>
          <cell r="C135">
            <v>3222196</v>
          </cell>
          <cell r="D135">
            <v>3244335</v>
          </cell>
          <cell r="E135">
            <v>3250542</v>
          </cell>
          <cell r="F135">
            <v>3242060</v>
          </cell>
          <cell r="G135">
            <v>3219843</v>
          </cell>
          <cell r="H135">
            <v>3194996</v>
          </cell>
          <cell r="I135">
            <v>3168212</v>
          </cell>
          <cell r="J135">
            <v>3140366</v>
          </cell>
          <cell r="K135">
            <v>3113925</v>
          </cell>
          <cell r="L135">
            <v>3090955</v>
          </cell>
          <cell r="M135">
            <v>1294327</v>
          </cell>
          <cell r="N135">
            <v>1406475</v>
          </cell>
          <cell r="O135">
            <v>1503145</v>
          </cell>
          <cell r="P135">
            <v>1584276</v>
          </cell>
          <cell r="Q135">
            <v>1650063</v>
          </cell>
          <cell r="R135">
            <v>1701058</v>
          </cell>
          <cell r="S135">
            <v>1738107</v>
          </cell>
          <cell r="T135">
            <v>1763373</v>
          </cell>
          <cell r="U135">
            <v>1778688</v>
          </cell>
          <cell r="V135">
            <v>1786473</v>
          </cell>
          <cell r="W135">
            <v>1791308</v>
          </cell>
          <cell r="X135">
            <v>414176</v>
          </cell>
          <cell r="Y135">
            <v>423949</v>
          </cell>
          <cell r="Z135">
            <v>427313</v>
          </cell>
          <cell r="AA135">
            <v>426363</v>
          </cell>
          <cell r="AB135">
            <v>424229</v>
          </cell>
          <cell r="AC135">
            <v>421022</v>
          </cell>
          <cell r="AD135">
            <v>415724</v>
          </cell>
          <cell r="AE135">
            <v>407241</v>
          </cell>
          <cell r="AF135">
            <v>395362</v>
          </cell>
          <cell r="AG135">
            <v>378702</v>
          </cell>
          <cell r="AH135">
            <v>356077</v>
          </cell>
          <cell r="AI135">
            <v>150986</v>
          </cell>
          <cell r="AJ135">
            <v>166362</v>
          </cell>
          <cell r="AK135">
            <v>186370</v>
          </cell>
          <cell r="AL135">
            <v>202052</v>
          </cell>
          <cell r="AM135">
            <v>216398</v>
          </cell>
          <cell r="AN135">
            <v>229843</v>
          </cell>
          <cell r="AO135">
            <v>239068</v>
          </cell>
          <cell r="AP135">
            <v>244678</v>
          </cell>
          <cell r="AQ135">
            <v>246329</v>
          </cell>
          <cell r="AR135">
            <v>243568</v>
          </cell>
          <cell r="AS135">
            <v>232382</v>
          </cell>
          <cell r="AT135">
            <v>231014</v>
          </cell>
          <cell r="AU135">
            <v>229832</v>
          </cell>
          <cell r="AV135">
            <v>224238</v>
          </cell>
          <cell r="AW135">
            <v>217149</v>
          </cell>
          <cell r="AX135">
            <v>208475</v>
          </cell>
          <cell r="AY135">
            <v>198600</v>
          </cell>
          <cell r="AZ135">
            <v>188094</v>
          </cell>
          <cell r="BA135">
            <v>177515</v>
          </cell>
          <cell r="BB135">
            <v>167124</v>
          </cell>
          <cell r="BC135">
            <v>157155</v>
          </cell>
          <cell r="BD135">
            <v>147832</v>
          </cell>
          <cell r="BE135">
            <v>145659</v>
          </cell>
          <cell r="BF135">
            <v>140730</v>
          </cell>
          <cell r="BG135">
            <v>135109</v>
          </cell>
          <cell r="BH135">
            <v>128865</v>
          </cell>
          <cell r="BI135">
            <v>122028</v>
          </cell>
          <cell r="BJ135">
            <v>114803</v>
          </cell>
          <cell r="BK135">
            <v>114803</v>
          </cell>
          <cell r="BL135">
            <v>114803</v>
          </cell>
          <cell r="BM135">
            <v>114803</v>
          </cell>
          <cell r="BN135">
            <v>114803</v>
          </cell>
          <cell r="BO135">
            <v>114803</v>
          </cell>
        </row>
        <row r="136">
          <cell r="A136" t="str">
            <v>Norway</v>
          </cell>
          <cell r="B136">
            <v>5691</v>
          </cell>
          <cell r="C136">
            <v>5973</v>
          </cell>
          <cell r="D136">
            <v>6255</v>
          </cell>
          <cell r="E136">
            <v>6534</v>
          </cell>
          <cell r="F136">
            <v>6810</v>
          </cell>
          <cell r="G136">
            <v>7078</v>
          </cell>
          <cell r="H136">
            <v>7340</v>
          </cell>
          <cell r="I136">
            <v>7599</v>
          </cell>
          <cell r="J136">
            <v>7855</v>
          </cell>
          <cell r="K136">
            <v>8108</v>
          </cell>
          <cell r="L136">
            <v>8360</v>
          </cell>
          <cell r="M136">
            <v>3684</v>
          </cell>
          <cell r="N136">
            <v>3939</v>
          </cell>
          <cell r="O136">
            <v>4195</v>
          </cell>
          <cell r="P136">
            <v>4452</v>
          </cell>
          <cell r="Q136">
            <v>4708</v>
          </cell>
          <cell r="R136">
            <v>4960</v>
          </cell>
          <cell r="S136">
            <v>5211</v>
          </cell>
          <cell r="T136">
            <v>5459</v>
          </cell>
          <cell r="U136">
            <v>5705</v>
          </cell>
          <cell r="V136">
            <v>5949</v>
          </cell>
          <cell r="W136">
            <v>6192</v>
          </cell>
          <cell r="X136">
            <v>35</v>
          </cell>
          <cell r="Y136">
            <v>42</v>
          </cell>
          <cell r="Z136">
            <v>50</v>
          </cell>
          <cell r="AA136">
            <v>61</v>
          </cell>
          <cell r="AB136">
            <v>72</v>
          </cell>
          <cell r="AC136">
            <v>101</v>
          </cell>
          <cell r="AD136">
            <v>140</v>
          </cell>
          <cell r="AE136">
            <v>178</v>
          </cell>
          <cell r="AF136">
            <v>218</v>
          </cell>
          <cell r="AG136">
            <v>257</v>
          </cell>
          <cell r="AH136">
            <v>295</v>
          </cell>
          <cell r="AI136">
            <v>7</v>
          </cell>
          <cell r="AJ136">
            <v>15</v>
          </cell>
          <cell r="AK136">
            <v>20</v>
          </cell>
          <cell r="AL136">
            <v>26</v>
          </cell>
          <cell r="AM136">
            <v>34</v>
          </cell>
          <cell r="AN136">
            <v>62</v>
          </cell>
          <cell r="AO136">
            <v>90</v>
          </cell>
          <cell r="AP136">
            <v>125</v>
          </cell>
          <cell r="AQ136">
            <v>161</v>
          </cell>
          <cell r="AR136">
            <v>197</v>
          </cell>
          <cell r="AS136">
            <v>233</v>
          </cell>
          <cell r="AT136">
            <v>50</v>
          </cell>
          <cell r="AU136">
            <v>52</v>
          </cell>
          <cell r="AV136">
            <v>54</v>
          </cell>
          <cell r="AW136">
            <v>55</v>
          </cell>
          <cell r="AX136">
            <v>57</v>
          </cell>
          <cell r="AY136">
            <v>58</v>
          </cell>
          <cell r="AZ136">
            <v>60</v>
          </cell>
          <cell r="BA136">
            <v>61</v>
          </cell>
          <cell r="BB136">
            <v>62</v>
          </cell>
          <cell r="BC136">
            <v>63</v>
          </cell>
          <cell r="BD136">
            <v>63</v>
          </cell>
          <cell r="BE136">
            <v>43</v>
          </cell>
          <cell r="BF136">
            <v>44</v>
          </cell>
          <cell r="BG136">
            <v>45</v>
          </cell>
          <cell r="BH136">
            <v>46</v>
          </cell>
          <cell r="BI136">
            <v>47</v>
          </cell>
          <cell r="BJ136">
            <v>0</v>
          </cell>
          <cell r="BK136">
            <v>0</v>
          </cell>
          <cell r="BL136">
            <v>0</v>
          </cell>
          <cell r="BM136">
            <v>0</v>
          </cell>
          <cell r="BN136">
            <v>0</v>
          </cell>
          <cell r="BO136">
            <v>0</v>
          </cell>
        </row>
        <row r="137">
          <cell r="A137" t="str">
            <v>Oman</v>
          </cell>
          <cell r="B137">
            <v>4909</v>
          </cell>
          <cell r="C137">
            <v>5214</v>
          </cell>
          <cell r="D137">
            <v>5514</v>
          </cell>
          <cell r="E137">
            <v>5818</v>
          </cell>
          <cell r="F137">
            <v>6124</v>
          </cell>
          <cell r="G137">
            <v>6435</v>
          </cell>
          <cell r="H137">
            <v>6731</v>
          </cell>
          <cell r="I137">
            <v>7008</v>
          </cell>
          <cell r="J137">
            <v>7268</v>
          </cell>
          <cell r="K137">
            <v>7505</v>
          </cell>
          <cell r="L137">
            <v>7721</v>
          </cell>
          <cell r="M137">
            <v>1342</v>
          </cell>
          <cell r="N137">
            <v>1455</v>
          </cell>
          <cell r="O137">
            <v>1570</v>
          </cell>
          <cell r="P137">
            <v>1688</v>
          </cell>
          <cell r="Q137">
            <v>1807</v>
          </cell>
          <cell r="R137">
            <v>1932</v>
          </cell>
          <cell r="S137">
            <v>2059</v>
          </cell>
          <cell r="T137">
            <v>2187</v>
          </cell>
          <cell r="U137">
            <v>2313</v>
          </cell>
          <cell r="V137">
            <v>2435</v>
          </cell>
          <cell r="W137">
            <v>2552</v>
          </cell>
          <cell r="X137">
            <v>133</v>
          </cell>
          <cell r="Y137">
            <v>140</v>
          </cell>
          <cell r="Z137">
            <v>148</v>
          </cell>
          <cell r="AA137">
            <v>155</v>
          </cell>
          <cell r="AB137">
            <v>161</v>
          </cell>
          <cell r="AC137">
            <v>165</v>
          </cell>
          <cell r="AD137">
            <v>170</v>
          </cell>
          <cell r="AE137">
            <v>173</v>
          </cell>
          <cell r="AF137">
            <v>174</v>
          </cell>
          <cell r="AG137">
            <v>175</v>
          </cell>
          <cell r="AH137">
            <v>176</v>
          </cell>
          <cell r="AI137">
            <v>43</v>
          </cell>
          <cell r="AJ137">
            <v>49</v>
          </cell>
          <cell r="AK137">
            <v>52</v>
          </cell>
          <cell r="AL137">
            <v>57</v>
          </cell>
          <cell r="AM137">
            <v>60</v>
          </cell>
          <cell r="AN137">
            <v>66</v>
          </cell>
          <cell r="AO137">
            <v>68</v>
          </cell>
          <cell r="AP137">
            <v>70</v>
          </cell>
          <cell r="AQ137">
            <v>71</v>
          </cell>
          <cell r="AR137">
            <v>72</v>
          </cell>
          <cell r="AS137">
            <v>72</v>
          </cell>
          <cell r="AT137">
            <v>53</v>
          </cell>
          <cell r="AU137">
            <v>52</v>
          </cell>
          <cell r="AV137">
            <v>51</v>
          </cell>
          <cell r="AW137">
            <v>51</v>
          </cell>
          <cell r="AX137">
            <v>51</v>
          </cell>
          <cell r="AY137">
            <v>51</v>
          </cell>
          <cell r="AZ137">
            <v>50</v>
          </cell>
          <cell r="BA137">
            <v>50</v>
          </cell>
          <cell r="BB137">
            <v>49</v>
          </cell>
          <cell r="BC137">
            <v>48</v>
          </cell>
          <cell r="BD137">
            <v>48</v>
          </cell>
          <cell r="BE137">
            <v>40</v>
          </cell>
          <cell r="BF137">
            <v>41</v>
          </cell>
          <cell r="BG137">
            <v>41</v>
          </cell>
          <cell r="BH137">
            <v>43</v>
          </cell>
          <cell r="BI137">
            <v>44</v>
          </cell>
          <cell r="BJ137">
            <v>45</v>
          </cell>
          <cell r="BK137">
            <v>45</v>
          </cell>
          <cell r="BL137">
            <v>45</v>
          </cell>
          <cell r="BM137">
            <v>45</v>
          </cell>
          <cell r="BN137">
            <v>45</v>
          </cell>
          <cell r="BO137">
            <v>45</v>
          </cell>
        </row>
        <row r="138">
          <cell r="A138" t="str">
            <v>Pakistan</v>
          </cell>
          <cell r="B138">
            <v>109118</v>
          </cell>
          <cell r="C138">
            <v>131334</v>
          </cell>
          <cell r="D138">
            <v>158442</v>
          </cell>
          <cell r="E138">
            <v>191955</v>
          </cell>
          <cell r="F138">
            <v>233660</v>
          </cell>
          <cell r="G138">
            <v>285836</v>
          </cell>
          <cell r="H138">
            <v>336618</v>
          </cell>
          <cell r="I138">
            <v>385527</v>
          </cell>
          <cell r="J138">
            <v>432090</v>
          </cell>
          <cell r="K138">
            <v>475898</v>
          </cell>
          <cell r="L138">
            <v>516679</v>
          </cell>
          <cell r="M138">
            <v>2691</v>
          </cell>
          <cell r="N138">
            <v>3208</v>
          </cell>
          <cell r="O138">
            <v>3821</v>
          </cell>
          <cell r="P138">
            <v>4569</v>
          </cell>
          <cell r="Q138">
            <v>5499</v>
          </cell>
          <cell r="R138">
            <v>6661</v>
          </cell>
          <cell r="S138">
            <v>8112</v>
          </cell>
          <cell r="T138">
            <v>9766</v>
          </cell>
          <cell r="U138">
            <v>11533</v>
          </cell>
          <cell r="V138">
            <v>13334</v>
          </cell>
          <cell r="W138">
            <v>15107</v>
          </cell>
          <cell r="X138">
            <v>2565</v>
          </cell>
          <cell r="Y138">
            <v>3077</v>
          </cell>
          <cell r="Z138">
            <v>3696</v>
          </cell>
          <cell r="AA138">
            <v>4455</v>
          </cell>
          <cell r="AB138">
            <v>5391</v>
          </cell>
          <cell r="AC138">
            <v>6558</v>
          </cell>
          <cell r="AD138">
            <v>7814</v>
          </cell>
          <cell r="AE138">
            <v>9172</v>
          </cell>
          <cell r="AF138">
            <v>10609</v>
          </cell>
          <cell r="AG138">
            <v>12112</v>
          </cell>
          <cell r="AH138">
            <v>13661</v>
          </cell>
          <cell r="AI138">
            <v>35</v>
          </cell>
          <cell r="AJ138">
            <v>42</v>
          </cell>
          <cell r="AK138">
            <v>49</v>
          </cell>
          <cell r="AL138">
            <v>59</v>
          </cell>
          <cell r="AM138">
            <v>72</v>
          </cell>
          <cell r="AN138">
            <v>99</v>
          </cell>
          <cell r="AO138">
            <v>117</v>
          </cell>
          <cell r="AP138">
            <v>136</v>
          </cell>
          <cell r="AQ138">
            <v>154</v>
          </cell>
          <cell r="AR138">
            <v>171</v>
          </cell>
          <cell r="AS138">
            <v>186</v>
          </cell>
          <cell r="AT138">
            <v>2058</v>
          </cell>
          <cell r="AU138">
            <v>2474</v>
          </cell>
          <cell r="AV138">
            <v>2989</v>
          </cell>
          <cell r="AW138">
            <v>3632</v>
          </cell>
          <cell r="AX138">
            <v>4438</v>
          </cell>
          <cell r="AY138">
            <v>5448</v>
          </cell>
          <cell r="AZ138">
            <v>6527</v>
          </cell>
          <cell r="BA138">
            <v>7515</v>
          </cell>
          <cell r="BB138">
            <v>8404</v>
          </cell>
          <cell r="BC138">
            <v>9188</v>
          </cell>
          <cell r="BD138">
            <v>9864</v>
          </cell>
          <cell r="BE138">
            <v>180</v>
          </cell>
          <cell r="BF138">
            <v>304</v>
          </cell>
          <cell r="BG138">
            <v>428</v>
          </cell>
          <cell r="BH138">
            <v>552</v>
          </cell>
          <cell r="BI138">
            <v>676</v>
          </cell>
          <cell r="BJ138">
            <v>800</v>
          </cell>
          <cell r="BK138">
            <v>800</v>
          </cell>
          <cell r="BL138">
            <v>800</v>
          </cell>
          <cell r="BM138">
            <v>800</v>
          </cell>
          <cell r="BN138">
            <v>800</v>
          </cell>
          <cell r="BO138">
            <v>800</v>
          </cell>
        </row>
        <row r="139">
          <cell r="A139" t="str">
            <v>Panama</v>
          </cell>
          <cell r="B139">
            <v>17698</v>
          </cell>
          <cell r="C139">
            <v>18076</v>
          </cell>
          <cell r="D139">
            <v>18326</v>
          </cell>
          <cell r="E139">
            <v>18576</v>
          </cell>
          <cell r="F139">
            <v>18814</v>
          </cell>
          <cell r="G139">
            <v>19044</v>
          </cell>
          <cell r="H139">
            <v>19264</v>
          </cell>
          <cell r="I139">
            <v>19477</v>
          </cell>
          <cell r="J139">
            <v>19678</v>
          </cell>
          <cell r="K139">
            <v>19872</v>
          </cell>
          <cell r="L139">
            <v>20054</v>
          </cell>
          <cell r="M139">
            <v>8374</v>
          </cell>
          <cell r="N139">
            <v>8790</v>
          </cell>
          <cell r="O139">
            <v>9164</v>
          </cell>
          <cell r="P139">
            <v>9491</v>
          </cell>
          <cell r="Q139">
            <v>9778</v>
          </cell>
          <cell r="R139">
            <v>10030</v>
          </cell>
          <cell r="S139">
            <v>10259</v>
          </cell>
          <cell r="T139">
            <v>10468</v>
          </cell>
          <cell r="U139">
            <v>10653</v>
          </cell>
          <cell r="V139">
            <v>10818</v>
          </cell>
          <cell r="W139">
            <v>10961</v>
          </cell>
          <cell r="X139">
            <v>598</v>
          </cell>
          <cell r="Y139">
            <v>585</v>
          </cell>
          <cell r="Z139">
            <v>557</v>
          </cell>
          <cell r="AA139">
            <v>529</v>
          </cell>
          <cell r="AB139">
            <v>501</v>
          </cell>
          <cell r="AC139">
            <v>472</v>
          </cell>
          <cell r="AD139">
            <v>434</v>
          </cell>
          <cell r="AE139">
            <v>388</v>
          </cell>
          <cell r="AF139">
            <v>340</v>
          </cell>
          <cell r="AG139">
            <v>289</v>
          </cell>
          <cell r="AH139">
            <v>240</v>
          </cell>
          <cell r="AI139">
            <v>308</v>
          </cell>
          <cell r="AJ139">
            <v>301</v>
          </cell>
          <cell r="AK139">
            <v>307</v>
          </cell>
          <cell r="AL139">
            <v>308</v>
          </cell>
          <cell r="AM139">
            <v>308</v>
          </cell>
          <cell r="AN139">
            <v>299</v>
          </cell>
          <cell r="AO139">
            <v>282</v>
          </cell>
          <cell r="AP139">
            <v>253</v>
          </cell>
          <cell r="AQ139">
            <v>222</v>
          </cell>
          <cell r="AR139">
            <v>191</v>
          </cell>
          <cell r="AS139">
            <v>166</v>
          </cell>
          <cell r="AT139">
            <v>191</v>
          </cell>
          <cell r="AU139">
            <v>189</v>
          </cell>
          <cell r="AV139">
            <v>183</v>
          </cell>
          <cell r="AW139">
            <v>177</v>
          </cell>
          <cell r="AX139">
            <v>171</v>
          </cell>
          <cell r="AY139">
            <v>166</v>
          </cell>
          <cell r="AZ139">
            <v>161</v>
          </cell>
          <cell r="BA139">
            <v>156</v>
          </cell>
          <cell r="BB139">
            <v>153</v>
          </cell>
          <cell r="BC139">
            <v>149</v>
          </cell>
          <cell r="BD139">
            <v>146</v>
          </cell>
          <cell r="BE139">
            <v>185</v>
          </cell>
          <cell r="BF139">
            <v>185</v>
          </cell>
          <cell r="BG139">
            <v>183</v>
          </cell>
          <cell r="BH139">
            <v>177</v>
          </cell>
          <cell r="BI139">
            <v>171</v>
          </cell>
          <cell r="BJ139">
            <v>166</v>
          </cell>
          <cell r="BK139">
            <v>161</v>
          </cell>
          <cell r="BL139">
            <v>156</v>
          </cell>
          <cell r="BM139">
            <v>153</v>
          </cell>
          <cell r="BN139">
            <v>149</v>
          </cell>
          <cell r="BO139">
            <v>146</v>
          </cell>
        </row>
        <row r="140">
          <cell r="A140" t="str">
            <v>Papua New Guinea</v>
          </cell>
          <cell r="B140">
            <v>31889</v>
          </cell>
          <cell r="C140">
            <v>32834</v>
          </cell>
          <cell r="D140">
            <v>33836</v>
          </cell>
          <cell r="E140">
            <v>34889</v>
          </cell>
          <cell r="F140">
            <v>35988</v>
          </cell>
          <cell r="G140">
            <v>37136</v>
          </cell>
          <cell r="H140">
            <v>38308</v>
          </cell>
          <cell r="I140">
            <v>39475</v>
          </cell>
          <cell r="J140">
            <v>40621</v>
          </cell>
          <cell r="K140">
            <v>41748</v>
          </cell>
          <cell r="L140">
            <v>42868</v>
          </cell>
          <cell r="M140">
            <v>14313</v>
          </cell>
          <cell r="N140">
            <v>15433</v>
          </cell>
          <cell r="O140">
            <v>16623</v>
          </cell>
          <cell r="P140">
            <v>17899</v>
          </cell>
          <cell r="Q140">
            <v>19273</v>
          </cell>
          <cell r="R140">
            <v>20742</v>
          </cell>
          <cell r="S140">
            <v>21720</v>
          </cell>
          <cell r="T140">
            <v>22665</v>
          </cell>
          <cell r="U140">
            <v>23572</v>
          </cell>
          <cell r="V140">
            <v>24447</v>
          </cell>
          <cell r="W140">
            <v>25296</v>
          </cell>
          <cell r="X140">
            <v>4301</v>
          </cell>
          <cell r="Y140">
            <v>4144</v>
          </cell>
          <cell r="Z140">
            <v>3992</v>
          </cell>
          <cell r="AA140">
            <v>3822</v>
          </cell>
          <cell r="AB140">
            <v>3645</v>
          </cell>
          <cell r="AC140">
            <v>3679</v>
          </cell>
          <cell r="AD140">
            <v>3797</v>
          </cell>
          <cell r="AE140">
            <v>3900</v>
          </cell>
          <cell r="AF140">
            <v>4010</v>
          </cell>
          <cell r="AG140">
            <v>4121</v>
          </cell>
          <cell r="AH140">
            <v>4220</v>
          </cell>
          <cell r="AI140">
            <v>912</v>
          </cell>
          <cell r="AJ140">
            <v>1007</v>
          </cell>
          <cell r="AK140">
            <v>1091</v>
          </cell>
          <cell r="AL140">
            <v>1185</v>
          </cell>
          <cell r="AM140">
            <v>1315</v>
          </cell>
          <cell r="AN140">
            <v>1599</v>
          </cell>
          <cell r="AO140">
            <v>1750</v>
          </cell>
          <cell r="AP140">
            <v>1953</v>
          </cell>
          <cell r="AQ140">
            <v>2136</v>
          </cell>
          <cell r="AR140">
            <v>2296</v>
          </cell>
          <cell r="AS140">
            <v>2441</v>
          </cell>
          <cell r="AT140">
            <v>1280</v>
          </cell>
          <cell r="AU140">
            <v>1261</v>
          </cell>
          <cell r="AV140">
            <v>1249</v>
          </cell>
          <cell r="AW140">
            <v>1240</v>
          </cell>
          <cell r="AX140">
            <v>1235</v>
          </cell>
          <cell r="AY140">
            <v>1233</v>
          </cell>
          <cell r="AZ140">
            <v>1232</v>
          </cell>
          <cell r="BA140">
            <v>1230</v>
          </cell>
          <cell r="BB140">
            <v>1230</v>
          </cell>
          <cell r="BC140">
            <v>1231</v>
          </cell>
          <cell r="BD140">
            <v>1233</v>
          </cell>
          <cell r="BE140">
            <v>478</v>
          </cell>
          <cell r="BF140">
            <v>546</v>
          </cell>
          <cell r="BG140">
            <v>617</v>
          </cell>
          <cell r="BH140">
            <v>689</v>
          </cell>
          <cell r="BI140">
            <v>763</v>
          </cell>
          <cell r="BJ140">
            <v>130</v>
          </cell>
          <cell r="BK140">
            <v>130</v>
          </cell>
          <cell r="BL140">
            <v>130</v>
          </cell>
          <cell r="BM140">
            <v>130</v>
          </cell>
          <cell r="BN140">
            <v>130</v>
          </cell>
          <cell r="BO140">
            <v>130</v>
          </cell>
        </row>
        <row r="141">
          <cell r="A141" t="str">
            <v>Paraguay</v>
          </cell>
          <cell r="B141">
            <v>21207</v>
          </cell>
          <cell r="C141">
            <v>23224</v>
          </cell>
          <cell r="D141">
            <v>25161</v>
          </cell>
          <cell r="E141">
            <v>27268</v>
          </cell>
          <cell r="F141">
            <v>29563</v>
          </cell>
          <cell r="G141">
            <v>31956</v>
          </cell>
          <cell r="H141">
            <v>34279</v>
          </cell>
          <cell r="I141">
            <v>36511</v>
          </cell>
          <cell r="J141">
            <v>38657</v>
          </cell>
          <cell r="K141">
            <v>40716</v>
          </cell>
          <cell r="L141">
            <v>42685</v>
          </cell>
          <cell r="M141">
            <v>3237</v>
          </cell>
          <cell r="N141">
            <v>3948</v>
          </cell>
          <cell r="O141">
            <v>4602</v>
          </cell>
          <cell r="P141">
            <v>5495</v>
          </cell>
          <cell r="Q141">
            <v>6688</v>
          </cell>
          <cell r="R141">
            <v>7826</v>
          </cell>
          <cell r="S141">
            <v>8636</v>
          </cell>
          <cell r="T141">
            <v>9447</v>
          </cell>
          <cell r="U141">
            <v>10254</v>
          </cell>
          <cell r="V141">
            <v>11052</v>
          </cell>
          <cell r="W141">
            <v>11832</v>
          </cell>
          <cell r="X141">
            <v>459</v>
          </cell>
          <cell r="Y141">
            <v>473</v>
          </cell>
          <cell r="Z141">
            <v>467</v>
          </cell>
          <cell r="AA141">
            <v>457</v>
          </cell>
          <cell r="AB141">
            <v>443</v>
          </cell>
          <cell r="AC141">
            <v>427</v>
          </cell>
          <cell r="AD141">
            <v>420</v>
          </cell>
          <cell r="AE141">
            <v>419</v>
          </cell>
          <cell r="AF141">
            <v>416</v>
          </cell>
          <cell r="AG141">
            <v>413</v>
          </cell>
          <cell r="AH141">
            <v>411</v>
          </cell>
          <cell r="AI141">
            <v>275</v>
          </cell>
          <cell r="AJ141">
            <v>298</v>
          </cell>
          <cell r="AK141">
            <v>305</v>
          </cell>
          <cell r="AL141">
            <v>310</v>
          </cell>
          <cell r="AM141">
            <v>309</v>
          </cell>
          <cell r="AN141">
            <v>301</v>
          </cell>
          <cell r="AO141">
            <v>302</v>
          </cell>
          <cell r="AP141">
            <v>310</v>
          </cell>
          <cell r="AQ141">
            <v>318</v>
          </cell>
          <cell r="AR141">
            <v>325</v>
          </cell>
          <cell r="AS141">
            <v>330</v>
          </cell>
          <cell r="AT141">
            <v>418</v>
          </cell>
          <cell r="AU141">
            <v>453</v>
          </cell>
          <cell r="AV141">
            <v>485</v>
          </cell>
          <cell r="AW141">
            <v>518</v>
          </cell>
          <cell r="AX141">
            <v>554</v>
          </cell>
          <cell r="AY141">
            <v>590</v>
          </cell>
          <cell r="AZ141">
            <v>622</v>
          </cell>
          <cell r="BA141">
            <v>650</v>
          </cell>
          <cell r="BB141">
            <v>673</v>
          </cell>
          <cell r="BC141">
            <v>693</v>
          </cell>
          <cell r="BD141">
            <v>710</v>
          </cell>
          <cell r="BE141">
            <v>390</v>
          </cell>
          <cell r="BF141">
            <v>453</v>
          </cell>
          <cell r="BG141">
            <v>485</v>
          </cell>
          <cell r="BH141">
            <v>518</v>
          </cell>
          <cell r="BI141">
            <v>554</v>
          </cell>
          <cell r="BJ141">
            <v>590</v>
          </cell>
          <cell r="BK141">
            <v>622</v>
          </cell>
          <cell r="BL141">
            <v>650</v>
          </cell>
          <cell r="BM141">
            <v>669</v>
          </cell>
          <cell r="BN141">
            <v>669</v>
          </cell>
          <cell r="BO141">
            <v>669</v>
          </cell>
        </row>
        <row r="142">
          <cell r="A142" t="str">
            <v>Peru</v>
          </cell>
          <cell r="B142">
            <v>67820</v>
          </cell>
          <cell r="C142">
            <v>66882</v>
          </cell>
          <cell r="D142">
            <v>65631</v>
          </cell>
          <cell r="E142">
            <v>64523</v>
          </cell>
          <cell r="F142">
            <v>63678</v>
          </cell>
          <cell r="G142">
            <v>63074</v>
          </cell>
          <cell r="H142">
            <v>62524</v>
          </cell>
          <cell r="I142">
            <v>61933</v>
          </cell>
          <cell r="J142">
            <v>61339</v>
          </cell>
          <cell r="K142">
            <v>60746</v>
          </cell>
          <cell r="L142">
            <v>60158</v>
          </cell>
          <cell r="M142">
            <v>19712</v>
          </cell>
          <cell r="N142">
            <v>21502</v>
          </cell>
          <cell r="O142">
            <v>22881</v>
          </cell>
          <cell r="P142">
            <v>24220</v>
          </cell>
          <cell r="Q142">
            <v>25642</v>
          </cell>
          <cell r="R142">
            <v>27149</v>
          </cell>
          <cell r="S142">
            <v>27312</v>
          </cell>
          <cell r="T142">
            <v>27342</v>
          </cell>
          <cell r="U142">
            <v>27277</v>
          </cell>
          <cell r="V142">
            <v>27147</v>
          </cell>
          <cell r="W142">
            <v>26960</v>
          </cell>
          <cell r="X142">
            <v>2521</v>
          </cell>
          <cell r="Y142">
            <v>2383</v>
          </cell>
          <cell r="Z142">
            <v>2294</v>
          </cell>
          <cell r="AA142">
            <v>2211</v>
          </cell>
          <cell r="AB142">
            <v>2162</v>
          </cell>
          <cell r="AC142">
            <v>2263</v>
          </cell>
          <cell r="AD142">
            <v>2427</v>
          </cell>
          <cell r="AE142">
            <v>2576</v>
          </cell>
          <cell r="AF142">
            <v>2717</v>
          </cell>
          <cell r="AG142">
            <v>2827</v>
          </cell>
          <cell r="AH142">
            <v>2930</v>
          </cell>
          <cell r="AI142">
            <v>793</v>
          </cell>
          <cell r="AJ142">
            <v>888</v>
          </cell>
          <cell r="AK142">
            <v>977</v>
          </cell>
          <cell r="AL142">
            <v>1101</v>
          </cell>
          <cell r="AM142">
            <v>1189</v>
          </cell>
          <cell r="AN142">
            <v>1378</v>
          </cell>
          <cell r="AO142">
            <v>1571</v>
          </cell>
          <cell r="AP142">
            <v>1814</v>
          </cell>
          <cell r="AQ142">
            <v>2039</v>
          </cell>
          <cell r="AR142">
            <v>2221</v>
          </cell>
          <cell r="AS142">
            <v>2384</v>
          </cell>
          <cell r="AT142">
            <v>1011</v>
          </cell>
          <cell r="AU142">
            <v>969</v>
          </cell>
          <cell r="AV142">
            <v>924</v>
          </cell>
          <cell r="AW142">
            <v>879</v>
          </cell>
          <cell r="AX142">
            <v>840</v>
          </cell>
          <cell r="AY142">
            <v>805</v>
          </cell>
          <cell r="AZ142">
            <v>771</v>
          </cell>
          <cell r="BA142">
            <v>738</v>
          </cell>
          <cell r="BB142">
            <v>707</v>
          </cell>
          <cell r="BC142">
            <v>678</v>
          </cell>
          <cell r="BD142">
            <v>653</v>
          </cell>
          <cell r="BE142">
            <v>787</v>
          </cell>
          <cell r="BF142">
            <v>810</v>
          </cell>
          <cell r="BG142">
            <v>833</v>
          </cell>
          <cell r="BH142">
            <v>856</v>
          </cell>
          <cell r="BI142">
            <v>840</v>
          </cell>
          <cell r="BJ142">
            <v>428</v>
          </cell>
          <cell r="BK142">
            <v>428</v>
          </cell>
          <cell r="BL142">
            <v>428</v>
          </cell>
          <cell r="BM142">
            <v>428</v>
          </cell>
          <cell r="BN142">
            <v>428</v>
          </cell>
          <cell r="BO142">
            <v>428</v>
          </cell>
        </row>
        <row r="143">
          <cell r="A143" t="str">
            <v>Philippines</v>
          </cell>
          <cell r="B143">
            <v>26046</v>
          </cell>
          <cell r="C143">
            <v>28012</v>
          </cell>
          <cell r="D143">
            <v>29753</v>
          </cell>
          <cell r="E143">
            <v>31520</v>
          </cell>
          <cell r="F143">
            <v>33351</v>
          </cell>
          <cell r="G143">
            <v>35248</v>
          </cell>
          <cell r="H143">
            <v>37142</v>
          </cell>
          <cell r="I143">
            <v>39029</v>
          </cell>
          <cell r="J143">
            <v>40905</v>
          </cell>
          <cell r="K143">
            <v>42768</v>
          </cell>
          <cell r="L143">
            <v>44618</v>
          </cell>
          <cell r="M143">
            <v>6555</v>
          </cell>
          <cell r="N143">
            <v>8426</v>
          </cell>
          <cell r="O143">
            <v>10270</v>
          </cell>
          <cell r="P143">
            <v>12069</v>
          </cell>
          <cell r="Q143">
            <v>13825</v>
          </cell>
          <cell r="R143">
            <v>15549</v>
          </cell>
          <cell r="S143">
            <v>17240</v>
          </cell>
          <cell r="T143">
            <v>18899</v>
          </cell>
          <cell r="U143">
            <v>20525</v>
          </cell>
          <cell r="V143">
            <v>22116</v>
          </cell>
          <cell r="W143">
            <v>23674</v>
          </cell>
          <cell r="X143">
            <v>236</v>
          </cell>
          <cell r="Y143">
            <v>284</v>
          </cell>
          <cell r="Z143">
            <v>325</v>
          </cell>
          <cell r="AA143">
            <v>368</v>
          </cell>
          <cell r="AB143">
            <v>411</v>
          </cell>
          <cell r="AC143">
            <v>456</v>
          </cell>
          <cell r="AD143">
            <v>505</v>
          </cell>
          <cell r="AE143">
            <v>556</v>
          </cell>
          <cell r="AF143">
            <v>604</v>
          </cell>
          <cell r="AG143">
            <v>652</v>
          </cell>
          <cell r="AH143">
            <v>696</v>
          </cell>
          <cell r="AI143">
            <v>116</v>
          </cell>
          <cell r="AJ143">
            <v>158</v>
          </cell>
          <cell r="AK143">
            <v>203</v>
          </cell>
          <cell r="AL143">
            <v>245</v>
          </cell>
          <cell r="AM143">
            <v>287</v>
          </cell>
          <cell r="AN143">
            <v>341</v>
          </cell>
          <cell r="AO143">
            <v>384</v>
          </cell>
          <cell r="AP143">
            <v>432</v>
          </cell>
          <cell r="AQ143">
            <v>479</v>
          </cell>
          <cell r="AR143">
            <v>525</v>
          </cell>
          <cell r="AS143">
            <v>567</v>
          </cell>
          <cell r="AT143">
            <v>138</v>
          </cell>
          <cell r="AU143">
            <v>144</v>
          </cell>
          <cell r="AV143">
            <v>150</v>
          </cell>
          <cell r="AW143">
            <v>157</v>
          </cell>
          <cell r="AX143">
            <v>164</v>
          </cell>
          <cell r="AY143">
            <v>171</v>
          </cell>
          <cell r="AZ143">
            <v>178</v>
          </cell>
          <cell r="BA143">
            <v>185</v>
          </cell>
          <cell r="BB143">
            <v>190</v>
          </cell>
          <cell r="BC143">
            <v>196</v>
          </cell>
          <cell r="BD143">
            <v>201</v>
          </cell>
          <cell r="BE143">
            <v>0</v>
          </cell>
          <cell r="BF143">
            <v>0</v>
          </cell>
          <cell r="BG143">
            <v>0</v>
          </cell>
          <cell r="BH143">
            <v>0</v>
          </cell>
          <cell r="BI143">
            <v>0</v>
          </cell>
          <cell r="BJ143">
            <v>0</v>
          </cell>
          <cell r="BK143">
            <v>0</v>
          </cell>
          <cell r="BL143">
            <v>0</v>
          </cell>
          <cell r="BM143">
            <v>0</v>
          </cell>
          <cell r="BN143">
            <v>0</v>
          </cell>
          <cell r="BO143">
            <v>0</v>
          </cell>
        </row>
        <row r="144">
          <cell r="A144" t="str">
            <v>Poland</v>
          </cell>
          <cell r="B144">
            <v>33116</v>
          </cell>
          <cell r="C144">
            <v>34180</v>
          </cell>
          <cell r="D144">
            <v>35217</v>
          </cell>
          <cell r="E144">
            <v>36228</v>
          </cell>
          <cell r="F144">
            <v>37216</v>
          </cell>
          <cell r="G144">
            <v>38180</v>
          </cell>
          <cell r="H144">
            <v>39119</v>
          </cell>
          <cell r="I144">
            <v>40035</v>
          </cell>
          <cell r="J144">
            <v>40927</v>
          </cell>
          <cell r="K144">
            <v>41800</v>
          </cell>
          <cell r="L144">
            <v>42647</v>
          </cell>
          <cell r="M144">
            <v>22687</v>
          </cell>
          <cell r="N144">
            <v>23752</v>
          </cell>
          <cell r="O144">
            <v>24805</v>
          </cell>
          <cell r="P144">
            <v>25844</v>
          </cell>
          <cell r="Q144">
            <v>26866</v>
          </cell>
          <cell r="R144">
            <v>27872</v>
          </cell>
          <cell r="S144">
            <v>28860</v>
          </cell>
          <cell r="T144">
            <v>29828</v>
          </cell>
          <cell r="U144">
            <v>30776</v>
          </cell>
          <cell r="V144">
            <v>31706</v>
          </cell>
          <cell r="W144">
            <v>32616</v>
          </cell>
          <cell r="X144">
            <v>107</v>
          </cell>
          <cell r="Y144">
            <v>118</v>
          </cell>
          <cell r="Z144">
            <v>130</v>
          </cell>
          <cell r="AA144">
            <v>143</v>
          </cell>
          <cell r="AB144">
            <v>157</v>
          </cell>
          <cell r="AC144">
            <v>234</v>
          </cell>
          <cell r="AD144">
            <v>341</v>
          </cell>
          <cell r="AE144">
            <v>445</v>
          </cell>
          <cell r="AF144">
            <v>554</v>
          </cell>
          <cell r="AG144">
            <v>650</v>
          </cell>
          <cell r="AH144">
            <v>744</v>
          </cell>
          <cell r="AI144">
            <v>65</v>
          </cell>
          <cell r="AJ144">
            <v>73</v>
          </cell>
          <cell r="AK144">
            <v>84</v>
          </cell>
          <cell r="AL144">
            <v>94</v>
          </cell>
          <cell r="AM144">
            <v>105</v>
          </cell>
          <cell r="AN144">
            <v>181</v>
          </cell>
          <cell r="AO144">
            <v>256</v>
          </cell>
          <cell r="AP144">
            <v>354</v>
          </cell>
          <cell r="AQ144">
            <v>450</v>
          </cell>
          <cell r="AR144">
            <v>542</v>
          </cell>
          <cell r="AS144">
            <v>629</v>
          </cell>
          <cell r="AT144">
            <v>152</v>
          </cell>
          <cell r="AU144">
            <v>155</v>
          </cell>
          <cell r="AV144">
            <v>158</v>
          </cell>
          <cell r="AW144">
            <v>161</v>
          </cell>
          <cell r="AX144">
            <v>163</v>
          </cell>
          <cell r="AY144">
            <v>165</v>
          </cell>
          <cell r="AZ144">
            <v>165</v>
          </cell>
          <cell r="BA144">
            <v>166</v>
          </cell>
          <cell r="BB144">
            <v>167</v>
          </cell>
          <cell r="BC144">
            <v>168</v>
          </cell>
          <cell r="BD144">
            <v>168</v>
          </cell>
          <cell r="BE144">
            <v>152</v>
          </cell>
          <cell r="BF144">
            <v>154</v>
          </cell>
          <cell r="BG144">
            <v>155</v>
          </cell>
          <cell r="BH144">
            <v>156</v>
          </cell>
          <cell r="BI144">
            <v>156</v>
          </cell>
          <cell r="BJ144">
            <v>0</v>
          </cell>
          <cell r="BK144">
            <v>0</v>
          </cell>
          <cell r="BL144">
            <v>0</v>
          </cell>
          <cell r="BM144">
            <v>0</v>
          </cell>
          <cell r="BN144">
            <v>0</v>
          </cell>
          <cell r="BO144">
            <v>0</v>
          </cell>
        </row>
        <row r="145">
          <cell r="A145" t="str">
            <v>Polynesia</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row>
        <row r="146">
          <cell r="A146" t="str">
            <v>Portugal</v>
          </cell>
          <cell r="B146">
            <v>44951</v>
          </cell>
          <cell r="C146">
            <v>45955</v>
          </cell>
          <cell r="D146">
            <v>46938</v>
          </cell>
          <cell r="E146">
            <v>47899</v>
          </cell>
          <cell r="F146">
            <v>48836</v>
          </cell>
          <cell r="G146">
            <v>49749</v>
          </cell>
          <cell r="H146">
            <v>50641</v>
          </cell>
          <cell r="I146">
            <v>51506</v>
          </cell>
          <cell r="J146">
            <v>52343</v>
          </cell>
          <cell r="K146">
            <v>53156</v>
          </cell>
          <cell r="L146">
            <v>53937</v>
          </cell>
          <cell r="M146">
            <v>33824</v>
          </cell>
          <cell r="N146">
            <v>34984</v>
          </cell>
          <cell r="O146">
            <v>36104</v>
          </cell>
          <cell r="P146">
            <v>37186</v>
          </cell>
          <cell r="Q146">
            <v>38232</v>
          </cell>
          <cell r="R146">
            <v>39243</v>
          </cell>
          <cell r="S146">
            <v>40219</v>
          </cell>
          <cell r="T146">
            <v>41163</v>
          </cell>
          <cell r="U146">
            <v>42076</v>
          </cell>
          <cell r="V146">
            <v>42959</v>
          </cell>
          <cell r="W146">
            <v>43811</v>
          </cell>
          <cell r="X146">
            <v>153</v>
          </cell>
          <cell r="Y146">
            <v>163</v>
          </cell>
          <cell r="Z146">
            <v>173</v>
          </cell>
          <cell r="AA146">
            <v>181</v>
          </cell>
          <cell r="AB146">
            <v>189</v>
          </cell>
          <cell r="AC146">
            <v>273</v>
          </cell>
          <cell r="AD146">
            <v>392</v>
          </cell>
          <cell r="AE146">
            <v>507</v>
          </cell>
          <cell r="AF146">
            <v>627</v>
          </cell>
          <cell r="AG146">
            <v>734</v>
          </cell>
          <cell r="AH146">
            <v>842</v>
          </cell>
          <cell r="AI146">
            <v>74</v>
          </cell>
          <cell r="AJ146">
            <v>87</v>
          </cell>
          <cell r="AK146">
            <v>102</v>
          </cell>
          <cell r="AL146">
            <v>115</v>
          </cell>
          <cell r="AM146">
            <v>129</v>
          </cell>
          <cell r="AN146">
            <v>222</v>
          </cell>
          <cell r="AO146">
            <v>311</v>
          </cell>
          <cell r="AP146">
            <v>429</v>
          </cell>
          <cell r="AQ146">
            <v>543</v>
          </cell>
          <cell r="AR146">
            <v>653</v>
          </cell>
          <cell r="AS146">
            <v>760</v>
          </cell>
          <cell r="AT146">
            <v>217</v>
          </cell>
          <cell r="AU146">
            <v>210</v>
          </cell>
          <cell r="AV146">
            <v>203</v>
          </cell>
          <cell r="AW146">
            <v>198</v>
          </cell>
          <cell r="AX146">
            <v>194</v>
          </cell>
          <cell r="AY146">
            <v>191</v>
          </cell>
          <cell r="AZ146">
            <v>189</v>
          </cell>
          <cell r="BA146">
            <v>188</v>
          </cell>
          <cell r="BB146">
            <v>188</v>
          </cell>
          <cell r="BC146">
            <v>189</v>
          </cell>
          <cell r="BD146">
            <v>190</v>
          </cell>
          <cell r="BE146">
            <v>217</v>
          </cell>
          <cell r="BF146">
            <v>210</v>
          </cell>
          <cell r="BG146">
            <v>203</v>
          </cell>
          <cell r="BH146">
            <v>198</v>
          </cell>
          <cell r="BI146">
            <v>194</v>
          </cell>
          <cell r="BJ146">
            <v>0</v>
          </cell>
          <cell r="BK146">
            <v>0</v>
          </cell>
          <cell r="BL146">
            <v>0</v>
          </cell>
          <cell r="BM146">
            <v>0</v>
          </cell>
          <cell r="BN146">
            <v>0</v>
          </cell>
          <cell r="BO146">
            <v>0</v>
          </cell>
        </row>
        <row r="147">
          <cell r="A147" t="str">
            <v>Puerto Rico</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row>
        <row r="148">
          <cell r="A148" t="str">
            <v>Qatar</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row>
        <row r="149">
          <cell r="A149" t="str">
            <v>Republic of Korea</v>
          </cell>
          <cell r="B149">
            <v>8025</v>
          </cell>
          <cell r="C149">
            <v>8217</v>
          </cell>
          <cell r="D149">
            <v>8329</v>
          </cell>
          <cell r="E149">
            <v>8374</v>
          </cell>
          <cell r="F149">
            <v>8371</v>
          </cell>
          <cell r="G149">
            <v>8339</v>
          </cell>
          <cell r="H149">
            <v>8299</v>
          </cell>
          <cell r="I149">
            <v>8252</v>
          </cell>
          <cell r="J149">
            <v>8201</v>
          </cell>
          <cell r="K149">
            <v>8147</v>
          </cell>
          <cell r="L149">
            <v>8089</v>
          </cell>
          <cell r="M149">
            <v>4255</v>
          </cell>
          <cell r="N149">
            <v>4408</v>
          </cell>
          <cell r="O149">
            <v>4502</v>
          </cell>
          <cell r="P149">
            <v>4546</v>
          </cell>
          <cell r="Q149">
            <v>4555</v>
          </cell>
          <cell r="R149">
            <v>4542</v>
          </cell>
          <cell r="S149">
            <v>4522</v>
          </cell>
          <cell r="T149">
            <v>4499</v>
          </cell>
          <cell r="U149">
            <v>4473</v>
          </cell>
          <cell r="V149">
            <v>4445</v>
          </cell>
          <cell r="W149">
            <v>4417</v>
          </cell>
          <cell r="X149">
            <v>22</v>
          </cell>
          <cell r="Y149">
            <v>25</v>
          </cell>
          <cell r="Z149">
            <v>27</v>
          </cell>
          <cell r="AA149">
            <v>26</v>
          </cell>
          <cell r="AB149">
            <v>28</v>
          </cell>
          <cell r="AC149">
            <v>51</v>
          </cell>
          <cell r="AD149">
            <v>83</v>
          </cell>
          <cell r="AE149">
            <v>113</v>
          </cell>
          <cell r="AF149">
            <v>143</v>
          </cell>
          <cell r="AG149">
            <v>170</v>
          </cell>
          <cell r="AH149">
            <v>195</v>
          </cell>
          <cell r="AI149">
            <v>11</v>
          </cell>
          <cell r="AJ149">
            <v>9</v>
          </cell>
          <cell r="AK149">
            <v>10</v>
          </cell>
          <cell r="AL149">
            <v>16</v>
          </cell>
          <cell r="AM149">
            <v>17</v>
          </cell>
          <cell r="AN149">
            <v>38</v>
          </cell>
          <cell r="AO149">
            <v>58</v>
          </cell>
          <cell r="AP149">
            <v>85</v>
          </cell>
          <cell r="AQ149">
            <v>111</v>
          </cell>
          <cell r="AR149">
            <v>135</v>
          </cell>
          <cell r="AS149">
            <v>159</v>
          </cell>
          <cell r="AT149">
            <v>52</v>
          </cell>
          <cell r="AU149">
            <v>52</v>
          </cell>
          <cell r="AV149">
            <v>51</v>
          </cell>
          <cell r="AW149">
            <v>50</v>
          </cell>
          <cell r="AX149">
            <v>48</v>
          </cell>
          <cell r="AY149">
            <v>46</v>
          </cell>
          <cell r="AZ149">
            <v>45</v>
          </cell>
          <cell r="BA149">
            <v>43</v>
          </cell>
          <cell r="BB149">
            <v>41</v>
          </cell>
          <cell r="BC149">
            <v>40</v>
          </cell>
          <cell r="BD149">
            <v>38</v>
          </cell>
          <cell r="BE149">
            <v>52</v>
          </cell>
          <cell r="BF149">
            <v>52</v>
          </cell>
          <cell r="BG149">
            <v>51</v>
          </cell>
          <cell r="BH149">
            <v>50</v>
          </cell>
          <cell r="BI149">
            <v>48</v>
          </cell>
          <cell r="BJ149">
            <v>0</v>
          </cell>
          <cell r="BK149">
            <v>0</v>
          </cell>
          <cell r="BL149">
            <v>0</v>
          </cell>
          <cell r="BM149">
            <v>0</v>
          </cell>
          <cell r="BN149">
            <v>0</v>
          </cell>
          <cell r="BO149">
            <v>0</v>
          </cell>
        </row>
        <row r="150">
          <cell r="A150" t="str">
            <v>Republic of Moldova</v>
          </cell>
          <cell r="B150">
            <v>14360</v>
          </cell>
          <cell r="C150">
            <v>14821</v>
          </cell>
          <cell r="D150">
            <v>15296</v>
          </cell>
          <cell r="E150">
            <v>15788</v>
          </cell>
          <cell r="F150">
            <v>16294</v>
          </cell>
          <cell r="G150">
            <v>16809</v>
          </cell>
          <cell r="H150">
            <v>17295</v>
          </cell>
          <cell r="I150">
            <v>17735</v>
          </cell>
          <cell r="J150">
            <v>18130</v>
          </cell>
          <cell r="K150">
            <v>18485</v>
          </cell>
          <cell r="L150">
            <v>18800</v>
          </cell>
          <cell r="M150">
            <v>3326</v>
          </cell>
          <cell r="N150">
            <v>3925</v>
          </cell>
          <cell r="O150">
            <v>4514</v>
          </cell>
          <cell r="P150">
            <v>5161</v>
          </cell>
          <cell r="Q150">
            <v>5795</v>
          </cell>
          <cell r="R150">
            <v>6460</v>
          </cell>
          <cell r="S150">
            <v>6859</v>
          </cell>
          <cell r="T150">
            <v>7229</v>
          </cell>
          <cell r="U150">
            <v>7572</v>
          </cell>
          <cell r="V150">
            <v>7887</v>
          </cell>
          <cell r="W150">
            <v>8179</v>
          </cell>
          <cell r="X150">
            <v>306</v>
          </cell>
          <cell r="Y150">
            <v>327</v>
          </cell>
          <cell r="Z150">
            <v>336</v>
          </cell>
          <cell r="AA150">
            <v>337</v>
          </cell>
          <cell r="AB150">
            <v>334</v>
          </cell>
          <cell r="AC150">
            <v>380</v>
          </cell>
          <cell r="AD150">
            <v>452</v>
          </cell>
          <cell r="AE150">
            <v>519</v>
          </cell>
          <cell r="AF150">
            <v>589</v>
          </cell>
          <cell r="AG150">
            <v>652</v>
          </cell>
          <cell r="AH150">
            <v>709</v>
          </cell>
          <cell r="AI150">
            <v>139</v>
          </cell>
          <cell r="AJ150">
            <v>159</v>
          </cell>
          <cell r="AK150">
            <v>179</v>
          </cell>
          <cell r="AL150">
            <v>193</v>
          </cell>
          <cell r="AM150">
            <v>204</v>
          </cell>
          <cell r="AN150">
            <v>267</v>
          </cell>
          <cell r="AO150">
            <v>323</v>
          </cell>
          <cell r="AP150">
            <v>397</v>
          </cell>
          <cell r="AQ150">
            <v>468</v>
          </cell>
          <cell r="AR150">
            <v>536</v>
          </cell>
          <cell r="AS150">
            <v>596</v>
          </cell>
          <cell r="AT150">
            <v>145</v>
          </cell>
          <cell r="AU150">
            <v>149</v>
          </cell>
          <cell r="AV150">
            <v>151</v>
          </cell>
          <cell r="AW150">
            <v>152</v>
          </cell>
          <cell r="AX150">
            <v>154</v>
          </cell>
          <cell r="AY150">
            <v>154</v>
          </cell>
          <cell r="AZ150">
            <v>154</v>
          </cell>
          <cell r="BA150">
            <v>152</v>
          </cell>
          <cell r="BB150">
            <v>150</v>
          </cell>
          <cell r="BC150">
            <v>147</v>
          </cell>
          <cell r="BD150">
            <v>144</v>
          </cell>
          <cell r="BE150">
            <v>145</v>
          </cell>
          <cell r="BF150">
            <v>149</v>
          </cell>
          <cell r="BG150">
            <v>151</v>
          </cell>
          <cell r="BH150">
            <v>152</v>
          </cell>
          <cell r="BI150">
            <v>154</v>
          </cell>
          <cell r="BJ150">
            <v>113</v>
          </cell>
          <cell r="BK150">
            <v>113</v>
          </cell>
          <cell r="BL150">
            <v>113</v>
          </cell>
          <cell r="BM150">
            <v>113</v>
          </cell>
          <cell r="BN150">
            <v>113</v>
          </cell>
          <cell r="BO150">
            <v>113</v>
          </cell>
        </row>
        <row r="151">
          <cell r="A151" t="str">
            <v>Réunion</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row>
        <row r="152">
          <cell r="A152" t="str">
            <v>Romania</v>
          </cell>
          <cell r="B152">
            <v>16827</v>
          </cell>
          <cell r="C152">
            <v>16904</v>
          </cell>
          <cell r="D152">
            <v>17032</v>
          </cell>
          <cell r="E152">
            <v>17209</v>
          </cell>
          <cell r="F152">
            <v>17425</v>
          </cell>
          <cell r="G152">
            <v>17680</v>
          </cell>
          <cell r="H152">
            <v>17908</v>
          </cell>
          <cell r="I152">
            <v>18090</v>
          </cell>
          <cell r="J152">
            <v>18223</v>
          </cell>
          <cell r="K152">
            <v>18336</v>
          </cell>
          <cell r="L152">
            <v>18432</v>
          </cell>
          <cell r="M152">
            <v>9247</v>
          </cell>
          <cell r="N152">
            <v>9695</v>
          </cell>
          <cell r="O152">
            <v>10151</v>
          </cell>
          <cell r="P152">
            <v>10618</v>
          </cell>
          <cell r="Q152">
            <v>11095</v>
          </cell>
          <cell r="R152">
            <v>11587</v>
          </cell>
          <cell r="S152">
            <v>11877</v>
          </cell>
          <cell r="T152">
            <v>12124</v>
          </cell>
          <cell r="U152">
            <v>12320</v>
          </cell>
          <cell r="V152">
            <v>12493</v>
          </cell>
          <cell r="W152">
            <v>12645</v>
          </cell>
          <cell r="X152">
            <v>431</v>
          </cell>
          <cell r="Y152">
            <v>396</v>
          </cell>
          <cell r="Z152">
            <v>358</v>
          </cell>
          <cell r="AA152">
            <v>313</v>
          </cell>
          <cell r="AB152">
            <v>260</v>
          </cell>
          <cell r="AC152">
            <v>242</v>
          </cell>
          <cell r="AD152">
            <v>255</v>
          </cell>
          <cell r="AE152">
            <v>293</v>
          </cell>
          <cell r="AF152">
            <v>368</v>
          </cell>
          <cell r="AG152">
            <v>438</v>
          </cell>
          <cell r="AH152">
            <v>508</v>
          </cell>
          <cell r="AI152">
            <v>193</v>
          </cell>
          <cell r="AJ152">
            <v>199</v>
          </cell>
          <cell r="AK152">
            <v>189</v>
          </cell>
          <cell r="AL152">
            <v>168</v>
          </cell>
          <cell r="AM152">
            <v>145</v>
          </cell>
          <cell r="AN152">
            <v>166</v>
          </cell>
          <cell r="AO152">
            <v>187</v>
          </cell>
          <cell r="AP152">
            <v>235</v>
          </cell>
          <cell r="AQ152">
            <v>304</v>
          </cell>
          <cell r="AR152">
            <v>371</v>
          </cell>
          <cell r="AS152">
            <v>436</v>
          </cell>
          <cell r="AT152">
            <v>131</v>
          </cell>
          <cell r="AU152">
            <v>126</v>
          </cell>
          <cell r="AV152">
            <v>123</v>
          </cell>
          <cell r="AW152">
            <v>121</v>
          </cell>
          <cell r="AX152">
            <v>120</v>
          </cell>
          <cell r="AY152">
            <v>119</v>
          </cell>
          <cell r="AZ152">
            <v>118</v>
          </cell>
          <cell r="BA152">
            <v>117</v>
          </cell>
          <cell r="BB152">
            <v>115</v>
          </cell>
          <cell r="BC152">
            <v>113</v>
          </cell>
          <cell r="BD152">
            <v>112</v>
          </cell>
          <cell r="BE152">
            <v>131</v>
          </cell>
          <cell r="BF152">
            <v>126</v>
          </cell>
          <cell r="BG152">
            <v>123</v>
          </cell>
          <cell r="BH152">
            <v>121</v>
          </cell>
          <cell r="BI152">
            <v>120</v>
          </cell>
          <cell r="BJ152">
            <v>0</v>
          </cell>
          <cell r="BK152">
            <v>0</v>
          </cell>
          <cell r="BL152">
            <v>0</v>
          </cell>
          <cell r="BM152">
            <v>0</v>
          </cell>
          <cell r="BN152">
            <v>0</v>
          </cell>
          <cell r="BO152">
            <v>0</v>
          </cell>
        </row>
        <row r="153">
          <cell r="A153" t="str">
            <v>Russian Federation</v>
          </cell>
          <cell r="B153">
            <v>881166</v>
          </cell>
          <cell r="C153">
            <v>905873</v>
          </cell>
          <cell r="D153">
            <v>925359</v>
          </cell>
          <cell r="E153">
            <v>940841</v>
          </cell>
          <cell r="F153">
            <v>953251</v>
          </cell>
          <cell r="G153">
            <v>962716</v>
          </cell>
          <cell r="H153">
            <v>969507</v>
          </cell>
          <cell r="I153">
            <v>973887</v>
          </cell>
          <cell r="J153">
            <v>976089</v>
          </cell>
          <cell r="K153">
            <v>976410</v>
          </cell>
          <cell r="L153">
            <v>975199</v>
          </cell>
          <cell r="M153">
            <v>78217</v>
          </cell>
          <cell r="N153">
            <v>81141</v>
          </cell>
          <cell r="O153">
            <v>83309</v>
          </cell>
          <cell r="P153">
            <v>84908</v>
          </cell>
          <cell r="Q153">
            <v>86096</v>
          </cell>
          <cell r="R153">
            <v>86984</v>
          </cell>
          <cell r="S153">
            <v>87620</v>
          </cell>
          <cell r="T153">
            <v>88042</v>
          </cell>
          <cell r="U153">
            <v>88257</v>
          </cell>
          <cell r="V153">
            <v>88280</v>
          </cell>
          <cell r="W153">
            <v>88134</v>
          </cell>
          <cell r="X153">
            <v>20698</v>
          </cell>
          <cell r="Y153">
            <v>21946</v>
          </cell>
          <cell r="Z153">
            <v>22845</v>
          </cell>
          <cell r="AA153">
            <v>23495</v>
          </cell>
          <cell r="AB153">
            <v>23912</v>
          </cell>
          <cell r="AC153">
            <v>24096</v>
          </cell>
          <cell r="AD153">
            <v>24105</v>
          </cell>
          <cell r="AE153">
            <v>23894</v>
          </cell>
          <cell r="AF153">
            <v>23626</v>
          </cell>
          <cell r="AG153">
            <v>23287</v>
          </cell>
          <cell r="AH153">
            <v>22825</v>
          </cell>
          <cell r="AI153">
            <v>4836</v>
          </cell>
          <cell r="AJ153">
            <v>5118</v>
          </cell>
          <cell r="AK153">
            <v>5246</v>
          </cell>
          <cell r="AL153">
            <v>5301</v>
          </cell>
          <cell r="AM153">
            <v>5239</v>
          </cell>
          <cell r="AN153">
            <v>5016</v>
          </cell>
          <cell r="AO153">
            <v>4799</v>
          </cell>
          <cell r="AP153">
            <v>4559</v>
          </cell>
          <cell r="AQ153">
            <v>4329</v>
          </cell>
          <cell r="AR153">
            <v>4121</v>
          </cell>
          <cell r="AS153">
            <v>3939</v>
          </cell>
          <cell r="AT153">
            <v>8531</v>
          </cell>
          <cell r="AU153">
            <v>8470</v>
          </cell>
          <cell r="AV153">
            <v>8312</v>
          </cell>
          <cell r="AW153">
            <v>8083</v>
          </cell>
          <cell r="AX153">
            <v>7802</v>
          </cell>
          <cell r="AY153">
            <v>7488</v>
          </cell>
          <cell r="AZ153">
            <v>7168</v>
          </cell>
          <cell r="BA153">
            <v>6868</v>
          </cell>
          <cell r="BB153">
            <v>6595</v>
          </cell>
          <cell r="BC153">
            <v>6364</v>
          </cell>
          <cell r="BD153">
            <v>6187</v>
          </cell>
          <cell r="BE153">
            <v>7655</v>
          </cell>
          <cell r="BF153">
            <v>7618</v>
          </cell>
          <cell r="BG153">
            <v>7485</v>
          </cell>
          <cell r="BH153">
            <v>7286</v>
          </cell>
          <cell r="BI153">
            <v>7037</v>
          </cell>
          <cell r="BJ153">
            <v>6752</v>
          </cell>
          <cell r="BK153">
            <v>6752</v>
          </cell>
          <cell r="BL153">
            <v>6752</v>
          </cell>
          <cell r="BM153">
            <v>6595</v>
          </cell>
          <cell r="BN153">
            <v>6364</v>
          </cell>
          <cell r="BO153">
            <v>6187</v>
          </cell>
        </row>
        <row r="154">
          <cell r="A154" t="str">
            <v>Rwanda</v>
          </cell>
          <cell r="B154">
            <v>203010</v>
          </cell>
          <cell r="C154">
            <v>204017</v>
          </cell>
          <cell r="D154">
            <v>204971</v>
          </cell>
          <cell r="E154">
            <v>205847</v>
          </cell>
          <cell r="F154">
            <v>206631</v>
          </cell>
          <cell r="G154">
            <v>207318</v>
          </cell>
          <cell r="H154">
            <v>208040</v>
          </cell>
          <cell r="I154">
            <v>208626</v>
          </cell>
          <cell r="J154">
            <v>209067</v>
          </cell>
          <cell r="K154">
            <v>209336</v>
          </cell>
          <cell r="L154">
            <v>209413</v>
          </cell>
          <cell r="M154">
            <v>114635</v>
          </cell>
          <cell r="N154">
            <v>121625</v>
          </cell>
          <cell r="O154">
            <v>128647</v>
          </cell>
          <cell r="P154">
            <v>133145</v>
          </cell>
          <cell r="Q154">
            <v>137348</v>
          </cell>
          <cell r="R154">
            <v>141248</v>
          </cell>
          <cell r="S154">
            <v>144329</v>
          </cell>
          <cell r="T154">
            <v>146853</v>
          </cell>
          <cell r="U154">
            <v>148832</v>
          </cell>
          <cell r="V154">
            <v>150324</v>
          </cell>
          <cell r="W154">
            <v>151423</v>
          </cell>
          <cell r="X154">
            <v>27389</v>
          </cell>
          <cell r="Y154">
            <v>27520</v>
          </cell>
          <cell r="Z154">
            <v>27890</v>
          </cell>
          <cell r="AA154">
            <v>28659</v>
          </cell>
          <cell r="AB154">
            <v>29415</v>
          </cell>
          <cell r="AC154">
            <v>30540</v>
          </cell>
          <cell r="AD154">
            <v>31444</v>
          </cell>
          <cell r="AE154">
            <v>32036</v>
          </cell>
          <cell r="AF154">
            <v>32553</v>
          </cell>
          <cell r="AG154">
            <v>32930</v>
          </cell>
          <cell r="AH154">
            <v>33251</v>
          </cell>
          <cell r="AI154">
            <v>11554</v>
          </cell>
          <cell r="AJ154">
            <v>13423</v>
          </cell>
          <cell r="AK154">
            <v>15497</v>
          </cell>
          <cell r="AL154">
            <v>16886</v>
          </cell>
          <cell r="AM154">
            <v>18039</v>
          </cell>
          <cell r="AN154">
            <v>19444</v>
          </cell>
          <cell r="AO154">
            <v>20777</v>
          </cell>
          <cell r="AP154">
            <v>22080</v>
          </cell>
          <cell r="AQ154">
            <v>23203</v>
          </cell>
          <cell r="AR154">
            <v>24238</v>
          </cell>
          <cell r="AS154">
            <v>25074</v>
          </cell>
          <cell r="AT154">
            <v>11535</v>
          </cell>
          <cell r="AU154">
            <v>10978</v>
          </cell>
          <cell r="AV154">
            <v>10418</v>
          </cell>
          <cell r="AW154">
            <v>9853</v>
          </cell>
          <cell r="AX154">
            <v>9265</v>
          </cell>
          <cell r="AY154">
            <v>8678</v>
          </cell>
          <cell r="AZ154">
            <v>8112</v>
          </cell>
          <cell r="BA154">
            <v>7575</v>
          </cell>
          <cell r="BB154">
            <v>7072</v>
          </cell>
          <cell r="BC154">
            <v>6607</v>
          </cell>
          <cell r="BD154">
            <v>6189</v>
          </cell>
          <cell r="BE154">
            <v>6279</v>
          </cell>
          <cell r="BF154">
            <v>6108</v>
          </cell>
          <cell r="BG154">
            <v>5903</v>
          </cell>
          <cell r="BH154">
            <v>5537</v>
          </cell>
          <cell r="BI154">
            <v>5178</v>
          </cell>
          <cell r="BJ154">
            <v>2289</v>
          </cell>
          <cell r="BK154">
            <v>2289</v>
          </cell>
          <cell r="BL154">
            <v>2289</v>
          </cell>
          <cell r="BM154">
            <v>2289</v>
          </cell>
          <cell r="BN154">
            <v>2289</v>
          </cell>
          <cell r="BO154">
            <v>2289</v>
          </cell>
        </row>
        <row r="155">
          <cell r="A155" t="str">
            <v>Saint Kitts and Nevis</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row>
        <row r="156">
          <cell r="A156" t="str">
            <v>Saint Lucia</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row>
        <row r="157">
          <cell r="A157" t="str">
            <v>Saint Vincent and the Grenadines</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row>
        <row r="158">
          <cell r="A158" t="str">
            <v>Samoa</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row>
        <row r="159">
          <cell r="A159" t="str">
            <v>São Tomé and Príncipe</v>
          </cell>
          <cell r="B159">
            <v>917</v>
          </cell>
          <cell r="C159">
            <v>877</v>
          </cell>
          <cell r="D159">
            <v>835</v>
          </cell>
          <cell r="E159">
            <v>792</v>
          </cell>
          <cell r="F159">
            <v>749</v>
          </cell>
          <cell r="G159">
            <v>707</v>
          </cell>
          <cell r="H159">
            <v>669</v>
          </cell>
          <cell r="I159">
            <v>634</v>
          </cell>
          <cell r="J159">
            <v>602</v>
          </cell>
          <cell r="K159">
            <v>574</v>
          </cell>
          <cell r="L159">
            <v>549</v>
          </cell>
          <cell r="M159">
            <v>416</v>
          </cell>
          <cell r="N159">
            <v>418</v>
          </cell>
          <cell r="O159">
            <v>414</v>
          </cell>
          <cell r="P159">
            <v>406</v>
          </cell>
          <cell r="Q159">
            <v>394</v>
          </cell>
          <cell r="R159">
            <v>382</v>
          </cell>
          <cell r="S159">
            <v>368</v>
          </cell>
          <cell r="T159">
            <v>355</v>
          </cell>
          <cell r="U159">
            <v>342</v>
          </cell>
          <cell r="V159">
            <v>331</v>
          </cell>
          <cell r="W159">
            <v>320</v>
          </cell>
          <cell r="X159">
            <v>94</v>
          </cell>
          <cell r="Y159">
            <v>89</v>
          </cell>
          <cell r="Z159">
            <v>82</v>
          </cell>
          <cell r="AA159">
            <v>75</v>
          </cell>
          <cell r="AB159">
            <v>68</v>
          </cell>
          <cell r="AC159">
            <v>60</v>
          </cell>
          <cell r="AD159">
            <v>53</v>
          </cell>
          <cell r="AE159">
            <v>47</v>
          </cell>
          <cell r="AF159">
            <v>40</v>
          </cell>
          <cell r="AG159">
            <v>34</v>
          </cell>
          <cell r="AH159">
            <v>29</v>
          </cell>
          <cell r="AI159">
            <v>17</v>
          </cell>
          <cell r="AJ159">
            <v>17</v>
          </cell>
          <cell r="AK159">
            <v>17</v>
          </cell>
          <cell r="AL159">
            <v>17</v>
          </cell>
          <cell r="AM159">
            <v>16</v>
          </cell>
          <cell r="AN159">
            <v>15</v>
          </cell>
          <cell r="AO159">
            <v>14</v>
          </cell>
          <cell r="AP159">
            <v>13</v>
          </cell>
          <cell r="AQ159">
            <v>11</v>
          </cell>
          <cell r="AR159">
            <v>10</v>
          </cell>
          <cell r="AS159">
            <v>9</v>
          </cell>
          <cell r="AT159">
            <v>30</v>
          </cell>
          <cell r="AU159">
            <v>26</v>
          </cell>
          <cell r="AV159">
            <v>22</v>
          </cell>
          <cell r="AW159">
            <v>19</v>
          </cell>
          <cell r="AX159">
            <v>16</v>
          </cell>
          <cell r="AY159">
            <v>13</v>
          </cell>
          <cell r="AZ159">
            <v>11</v>
          </cell>
          <cell r="BA159">
            <v>10</v>
          </cell>
          <cell r="BB159">
            <v>8</v>
          </cell>
          <cell r="BC159">
            <v>7</v>
          </cell>
          <cell r="BD159">
            <v>6</v>
          </cell>
          <cell r="BE159">
            <v>30</v>
          </cell>
          <cell r="BF159">
            <v>26</v>
          </cell>
          <cell r="BG159">
            <v>22</v>
          </cell>
          <cell r="BH159">
            <v>19</v>
          </cell>
          <cell r="BI159">
            <v>16</v>
          </cell>
          <cell r="BJ159">
            <v>13</v>
          </cell>
          <cell r="BK159">
            <v>11</v>
          </cell>
          <cell r="BL159">
            <v>10</v>
          </cell>
          <cell r="BM159">
            <v>8</v>
          </cell>
          <cell r="BN159">
            <v>7</v>
          </cell>
          <cell r="BO159">
            <v>6</v>
          </cell>
        </row>
        <row r="160">
          <cell r="A160" t="str">
            <v>Saudi Arabia</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row>
        <row r="161">
          <cell r="A161" t="str">
            <v>Senegal</v>
          </cell>
          <cell r="B161">
            <v>38821</v>
          </cell>
          <cell r="C161">
            <v>38544</v>
          </cell>
          <cell r="D161">
            <v>38629</v>
          </cell>
          <cell r="E161">
            <v>38614</v>
          </cell>
          <cell r="F161">
            <v>38214</v>
          </cell>
          <cell r="G161">
            <v>37549</v>
          </cell>
          <cell r="H161">
            <v>36768</v>
          </cell>
          <cell r="I161">
            <v>35965</v>
          </cell>
          <cell r="J161">
            <v>35145</v>
          </cell>
          <cell r="K161">
            <v>34315</v>
          </cell>
          <cell r="L161">
            <v>33533</v>
          </cell>
          <cell r="M161">
            <v>17395</v>
          </cell>
          <cell r="N161">
            <v>20430</v>
          </cell>
          <cell r="O161">
            <v>24398</v>
          </cell>
          <cell r="P161">
            <v>21773</v>
          </cell>
          <cell r="Q161">
            <v>22212</v>
          </cell>
          <cell r="R161">
            <v>22358</v>
          </cell>
          <cell r="S161">
            <v>22301</v>
          </cell>
          <cell r="T161">
            <v>22132</v>
          </cell>
          <cell r="U161">
            <v>21870</v>
          </cell>
          <cell r="V161">
            <v>21529</v>
          </cell>
          <cell r="W161">
            <v>21151</v>
          </cell>
          <cell r="X161">
            <v>5157</v>
          </cell>
          <cell r="Y161">
            <v>5047</v>
          </cell>
          <cell r="Z161">
            <v>4972</v>
          </cell>
          <cell r="AA161">
            <v>4872</v>
          </cell>
          <cell r="AB161">
            <v>4702</v>
          </cell>
          <cell r="AC161">
            <v>4479</v>
          </cell>
          <cell r="AD161">
            <v>4196</v>
          </cell>
          <cell r="AE161">
            <v>3833</v>
          </cell>
          <cell r="AF161">
            <v>3455</v>
          </cell>
          <cell r="AG161">
            <v>3108</v>
          </cell>
          <cell r="AH161">
            <v>2770</v>
          </cell>
          <cell r="AI161">
            <v>1448</v>
          </cell>
          <cell r="AJ161">
            <v>1807</v>
          </cell>
          <cell r="AK161">
            <v>1891</v>
          </cell>
          <cell r="AL161">
            <v>2001</v>
          </cell>
          <cell r="AM161">
            <v>2164</v>
          </cell>
          <cell r="AN161">
            <v>2185</v>
          </cell>
          <cell r="AO161">
            <v>2175</v>
          </cell>
          <cell r="AP161">
            <v>2096</v>
          </cell>
          <cell r="AQ161">
            <v>1959</v>
          </cell>
          <cell r="AR161">
            <v>1823</v>
          </cell>
          <cell r="AS161">
            <v>1707</v>
          </cell>
          <cell r="AT161">
            <v>2294</v>
          </cell>
          <cell r="AU161">
            <v>2205</v>
          </cell>
          <cell r="AV161">
            <v>2130</v>
          </cell>
          <cell r="AW161">
            <v>2024</v>
          </cell>
          <cell r="AX161">
            <v>1865</v>
          </cell>
          <cell r="AY161">
            <v>1702</v>
          </cell>
          <cell r="AZ161">
            <v>1543</v>
          </cell>
          <cell r="BA161">
            <v>1398</v>
          </cell>
          <cell r="BB161">
            <v>1265</v>
          </cell>
          <cell r="BC161">
            <v>1145</v>
          </cell>
          <cell r="BD161">
            <v>1040</v>
          </cell>
          <cell r="BE161">
            <v>1619</v>
          </cell>
          <cell r="BF161">
            <v>1551</v>
          </cell>
          <cell r="BG161">
            <v>1506</v>
          </cell>
          <cell r="BH161">
            <v>1413</v>
          </cell>
          <cell r="BI161">
            <v>1318</v>
          </cell>
          <cell r="BJ161">
            <v>1220</v>
          </cell>
          <cell r="BK161">
            <v>1220</v>
          </cell>
          <cell r="BL161">
            <v>1220</v>
          </cell>
          <cell r="BM161">
            <v>1220</v>
          </cell>
          <cell r="BN161">
            <v>1145</v>
          </cell>
          <cell r="BO161">
            <v>1040</v>
          </cell>
        </row>
        <row r="162">
          <cell r="A162" t="str">
            <v>Serbia</v>
          </cell>
          <cell r="B162">
            <v>3241</v>
          </cell>
          <cell r="C162">
            <v>3254</v>
          </cell>
          <cell r="D162">
            <v>3260</v>
          </cell>
          <cell r="E162">
            <v>3260</v>
          </cell>
          <cell r="F162">
            <v>3258</v>
          </cell>
          <cell r="G162">
            <v>3252</v>
          </cell>
          <cell r="H162">
            <v>3245</v>
          </cell>
          <cell r="I162">
            <v>3236</v>
          </cell>
          <cell r="J162">
            <v>3223</v>
          </cell>
          <cell r="K162">
            <v>3208</v>
          </cell>
          <cell r="L162">
            <v>3190</v>
          </cell>
          <cell r="M162">
            <v>1126</v>
          </cell>
          <cell r="N162">
            <v>1125</v>
          </cell>
          <cell r="O162">
            <v>1126</v>
          </cell>
          <cell r="P162">
            <v>1128</v>
          </cell>
          <cell r="Q162">
            <v>1130</v>
          </cell>
          <cell r="R162">
            <v>1134</v>
          </cell>
          <cell r="S162">
            <v>1135</v>
          </cell>
          <cell r="T162">
            <v>1135</v>
          </cell>
          <cell r="U162">
            <v>1134</v>
          </cell>
          <cell r="V162">
            <v>1132</v>
          </cell>
          <cell r="W162">
            <v>1128</v>
          </cell>
          <cell r="X162">
            <v>55</v>
          </cell>
          <cell r="Y162">
            <v>58</v>
          </cell>
          <cell r="Z162">
            <v>59</v>
          </cell>
          <cell r="AA162">
            <v>60</v>
          </cell>
          <cell r="AB162">
            <v>60</v>
          </cell>
          <cell r="AC162">
            <v>59</v>
          </cell>
          <cell r="AD162">
            <v>59</v>
          </cell>
          <cell r="AE162">
            <v>58</v>
          </cell>
          <cell r="AF162">
            <v>56</v>
          </cell>
          <cell r="AG162">
            <v>56</v>
          </cell>
          <cell r="AH162">
            <v>56</v>
          </cell>
          <cell r="AI162">
            <v>19</v>
          </cell>
          <cell r="AJ162">
            <v>21</v>
          </cell>
          <cell r="AK162">
            <v>23</v>
          </cell>
          <cell r="AL162">
            <v>24</v>
          </cell>
          <cell r="AM162">
            <v>24</v>
          </cell>
          <cell r="AN162">
            <v>24</v>
          </cell>
          <cell r="AO162">
            <v>24</v>
          </cell>
          <cell r="AP162">
            <v>23</v>
          </cell>
          <cell r="AQ162">
            <v>23</v>
          </cell>
          <cell r="AR162">
            <v>22</v>
          </cell>
          <cell r="AS162">
            <v>22</v>
          </cell>
          <cell r="AT162">
            <v>15</v>
          </cell>
          <cell r="AU162">
            <v>15</v>
          </cell>
          <cell r="AV162">
            <v>15</v>
          </cell>
          <cell r="AW162">
            <v>14</v>
          </cell>
          <cell r="AX162">
            <v>14</v>
          </cell>
          <cell r="AY162">
            <v>14</v>
          </cell>
          <cell r="AZ162">
            <v>14</v>
          </cell>
          <cell r="BA162">
            <v>13</v>
          </cell>
          <cell r="BB162">
            <v>13</v>
          </cell>
          <cell r="BC162">
            <v>13</v>
          </cell>
          <cell r="BD162">
            <v>13</v>
          </cell>
          <cell r="BE162">
            <v>0</v>
          </cell>
          <cell r="BF162">
            <v>0</v>
          </cell>
          <cell r="BG162">
            <v>0</v>
          </cell>
          <cell r="BH162">
            <v>0</v>
          </cell>
          <cell r="BI162">
            <v>0</v>
          </cell>
          <cell r="BJ162">
            <v>0</v>
          </cell>
          <cell r="BK162">
            <v>0</v>
          </cell>
          <cell r="BL162">
            <v>0</v>
          </cell>
          <cell r="BM162">
            <v>0</v>
          </cell>
          <cell r="BN162">
            <v>0</v>
          </cell>
          <cell r="BO162">
            <v>0</v>
          </cell>
        </row>
        <row r="163">
          <cell r="A163" t="str">
            <v>Seychelles</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row>
        <row r="164">
          <cell r="A164" t="str">
            <v>Sierra Leone</v>
          </cell>
          <cell r="B164">
            <v>56609</v>
          </cell>
          <cell r="C164">
            <v>57243</v>
          </cell>
          <cell r="D164">
            <v>57993</v>
          </cell>
          <cell r="E164">
            <v>58874</v>
          </cell>
          <cell r="F164">
            <v>59842</v>
          </cell>
          <cell r="G164">
            <v>60925</v>
          </cell>
          <cell r="H164">
            <v>62008</v>
          </cell>
          <cell r="I164">
            <v>63036</v>
          </cell>
          <cell r="J164">
            <v>64002</v>
          </cell>
          <cell r="K164">
            <v>64950</v>
          </cell>
          <cell r="L164">
            <v>65868</v>
          </cell>
          <cell r="M164">
            <v>12487</v>
          </cell>
          <cell r="N164">
            <v>14198</v>
          </cell>
          <cell r="O164">
            <v>15900</v>
          </cell>
          <cell r="P164">
            <v>17591</v>
          </cell>
          <cell r="Q164">
            <v>19273</v>
          </cell>
          <cell r="R164">
            <v>20954</v>
          </cell>
          <cell r="S164">
            <v>21734</v>
          </cell>
          <cell r="T164">
            <v>22414</v>
          </cell>
          <cell r="U164">
            <v>22996</v>
          </cell>
          <cell r="V164">
            <v>23514</v>
          </cell>
          <cell r="W164">
            <v>23971</v>
          </cell>
          <cell r="X164">
            <v>4784</v>
          </cell>
          <cell r="Y164">
            <v>4809</v>
          </cell>
          <cell r="Z164">
            <v>4851</v>
          </cell>
          <cell r="AA164">
            <v>4911</v>
          </cell>
          <cell r="AB164">
            <v>5021</v>
          </cell>
          <cell r="AC164">
            <v>5205</v>
          </cell>
          <cell r="AD164">
            <v>5426</v>
          </cell>
          <cell r="AE164">
            <v>5601</v>
          </cell>
          <cell r="AF164">
            <v>5783</v>
          </cell>
          <cell r="AG164">
            <v>5934</v>
          </cell>
          <cell r="AH164">
            <v>6092</v>
          </cell>
          <cell r="AI164">
            <v>1057</v>
          </cell>
          <cell r="AJ164">
            <v>1369</v>
          </cell>
          <cell r="AK164">
            <v>1744</v>
          </cell>
          <cell r="AL164">
            <v>2155</v>
          </cell>
          <cell r="AM164">
            <v>2586</v>
          </cell>
          <cell r="AN164">
            <v>3061</v>
          </cell>
          <cell r="AO164">
            <v>3498</v>
          </cell>
          <cell r="AP164">
            <v>3933</v>
          </cell>
          <cell r="AQ164">
            <v>4343</v>
          </cell>
          <cell r="AR164">
            <v>4728</v>
          </cell>
          <cell r="AS164">
            <v>5100</v>
          </cell>
          <cell r="AT164">
            <v>3199</v>
          </cell>
          <cell r="AU164">
            <v>3130</v>
          </cell>
          <cell r="AV164">
            <v>3056</v>
          </cell>
          <cell r="AW164">
            <v>2983</v>
          </cell>
          <cell r="AX164">
            <v>2912</v>
          </cell>
          <cell r="AY164">
            <v>2846</v>
          </cell>
          <cell r="AZ164">
            <v>2781</v>
          </cell>
          <cell r="BA164">
            <v>2715</v>
          </cell>
          <cell r="BB164">
            <v>2655</v>
          </cell>
          <cell r="BC164">
            <v>2600</v>
          </cell>
          <cell r="BD164">
            <v>2553</v>
          </cell>
          <cell r="BE164">
            <v>3199</v>
          </cell>
          <cell r="BF164">
            <v>3130</v>
          </cell>
          <cell r="BG164">
            <v>3056</v>
          </cell>
          <cell r="BH164">
            <v>2983</v>
          </cell>
          <cell r="BI164">
            <v>2912</v>
          </cell>
          <cell r="BJ164">
            <v>2846</v>
          </cell>
          <cell r="BK164">
            <v>2781</v>
          </cell>
          <cell r="BL164">
            <v>2715</v>
          </cell>
          <cell r="BM164">
            <v>2655</v>
          </cell>
          <cell r="BN164">
            <v>2600</v>
          </cell>
          <cell r="BO164">
            <v>2553</v>
          </cell>
        </row>
        <row r="165">
          <cell r="A165" t="str">
            <v>Singapore</v>
          </cell>
          <cell r="B165">
            <v>4366</v>
          </cell>
          <cell r="C165">
            <v>4629</v>
          </cell>
          <cell r="D165">
            <v>4906</v>
          </cell>
          <cell r="E165">
            <v>5195</v>
          </cell>
          <cell r="F165">
            <v>5494</v>
          </cell>
          <cell r="G165">
            <v>5799</v>
          </cell>
          <cell r="H165">
            <v>6096</v>
          </cell>
          <cell r="I165">
            <v>6388</v>
          </cell>
          <cell r="J165">
            <v>6676</v>
          </cell>
          <cell r="K165">
            <v>6960</v>
          </cell>
          <cell r="L165">
            <v>7241</v>
          </cell>
          <cell r="M165">
            <v>2982</v>
          </cell>
          <cell r="N165">
            <v>3168</v>
          </cell>
          <cell r="O165">
            <v>3359</v>
          </cell>
          <cell r="P165">
            <v>3554</v>
          </cell>
          <cell r="Q165">
            <v>3758</v>
          </cell>
          <cell r="R165">
            <v>3963</v>
          </cell>
          <cell r="S165">
            <v>4176</v>
          </cell>
          <cell r="T165">
            <v>4398</v>
          </cell>
          <cell r="U165">
            <v>4627</v>
          </cell>
          <cell r="V165">
            <v>4862</v>
          </cell>
          <cell r="W165">
            <v>5103</v>
          </cell>
          <cell r="X165">
            <v>180</v>
          </cell>
          <cell r="Y165">
            <v>180</v>
          </cell>
          <cell r="Z165">
            <v>183</v>
          </cell>
          <cell r="AA165">
            <v>187</v>
          </cell>
          <cell r="AB165">
            <v>194</v>
          </cell>
          <cell r="AC165">
            <v>204</v>
          </cell>
          <cell r="AD165">
            <v>215</v>
          </cell>
          <cell r="AE165">
            <v>227</v>
          </cell>
          <cell r="AF165">
            <v>240</v>
          </cell>
          <cell r="AG165">
            <v>253</v>
          </cell>
          <cell r="AH165">
            <v>268</v>
          </cell>
          <cell r="AI165">
            <v>164</v>
          </cell>
          <cell r="AJ165">
            <v>165</v>
          </cell>
          <cell r="AK165">
            <v>167</v>
          </cell>
          <cell r="AL165">
            <v>171</v>
          </cell>
          <cell r="AM165">
            <v>175</v>
          </cell>
          <cell r="AN165">
            <v>181</v>
          </cell>
          <cell r="AO165">
            <v>189</v>
          </cell>
          <cell r="AP165">
            <v>197</v>
          </cell>
          <cell r="AQ165">
            <v>208</v>
          </cell>
          <cell r="AR165">
            <v>219</v>
          </cell>
          <cell r="AS165">
            <v>232</v>
          </cell>
          <cell r="AT165">
            <v>24</v>
          </cell>
          <cell r="AU165">
            <v>25</v>
          </cell>
          <cell r="AV165">
            <v>26</v>
          </cell>
          <cell r="AW165">
            <v>28</v>
          </cell>
          <cell r="AX165">
            <v>30</v>
          </cell>
          <cell r="AY165">
            <v>32</v>
          </cell>
          <cell r="AZ165">
            <v>34</v>
          </cell>
          <cell r="BA165">
            <v>37</v>
          </cell>
          <cell r="BB165">
            <v>39</v>
          </cell>
          <cell r="BC165">
            <v>41</v>
          </cell>
          <cell r="BD165">
            <v>43</v>
          </cell>
          <cell r="BE165">
            <v>19</v>
          </cell>
          <cell r="BF165">
            <v>19</v>
          </cell>
          <cell r="BG165">
            <v>19</v>
          </cell>
          <cell r="BH165">
            <v>19</v>
          </cell>
          <cell r="BI165">
            <v>19</v>
          </cell>
          <cell r="BJ165">
            <v>19</v>
          </cell>
          <cell r="BK165">
            <v>19</v>
          </cell>
          <cell r="BL165">
            <v>19</v>
          </cell>
          <cell r="BM165">
            <v>19</v>
          </cell>
          <cell r="BN165">
            <v>19</v>
          </cell>
          <cell r="BO165">
            <v>19</v>
          </cell>
        </row>
        <row r="166">
          <cell r="A166" t="str">
            <v>Slovakia</v>
          </cell>
          <cell r="B166">
            <v>706</v>
          </cell>
          <cell r="C166">
            <v>768</v>
          </cell>
          <cell r="D166">
            <v>828</v>
          </cell>
          <cell r="E166">
            <v>887</v>
          </cell>
          <cell r="F166">
            <v>944</v>
          </cell>
          <cell r="G166">
            <v>999</v>
          </cell>
          <cell r="H166">
            <v>1054</v>
          </cell>
          <cell r="I166">
            <v>1106</v>
          </cell>
          <cell r="J166">
            <v>1158</v>
          </cell>
          <cell r="K166">
            <v>1208</v>
          </cell>
          <cell r="L166">
            <v>1256</v>
          </cell>
          <cell r="M166">
            <v>337</v>
          </cell>
          <cell r="N166">
            <v>378</v>
          </cell>
          <cell r="O166">
            <v>422</v>
          </cell>
          <cell r="P166">
            <v>466</v>
          </cell>
          <cell r="Q166">
            <v>512</v>
          </cell>
          <cell r="R166">
            <v>559</v>
          </cell>
          <cell r="S166">
            <v>607</v>
          </cell>
          <cell r="T166">
            <v>654</v>
          </cell>
          <cell r="U166">
            <v>702</v>
          </cell>
          <cell r="V166">
            <v>749</v>
          </cell>
          <cell r="W166">
            <v>796</v>
          </cell>
          <cell r="X166">
            <v>0.87824999999999998</v>
          </cell>
          <cell r="Y166">
            <v>1</v>
          </cell>
          <cell r="Z166">
            <v>1</v>
          </cell>
          <cell r="AA166">
            <v>1</v>
          </cell>
          <cell r="AB166">
            <v>2</v>
          </cell>
          <cell r="AC166">
            <v>2</v>
          </cell>
          <cell r="AD166">
            <v>2</v>
          </cell>
          <cell r="AE166">
            <v>3</v>
          </cell>
          <cell r="AF166">
            <v>3</v>
          </cell>
          <cell r="AG166">
            <v>4</v>
          </cell>
          <cell r="AH166">
            <v>4</v>
          </cell>
          <cell r="AI166">
            <v>0.55020000000000002</v>
          </cell>
          <cell r="AJ166">
            <v>0.70030999999999999</v>
          </cell>
          <cell r="AK166">
            <v>0.80898000000000003</v>
          </cell>
          <cell r="AL166">
            <v>0.94552000000000003</v>
          </cell>
          <cell r="AM166">
            <v>1</v>
          </cell>
          <cell r="AN166">
            <v>1</v>
          </cell>
          <cell r="AO166">
            <v>2</v>
          </cell>
          <cell r="AP166">
            <v>2</v>
          </cell>
          <cell r="AQ166">
            <v>3</v>
          </cell>
          <cell r="AR166">
            <v>3</v>
          </cell>
          <cell r="AS166">
            <v>4</v>
          </cell>
          <cell r="AT166">
            <v>2</v>
          </cell>
          <cell r="AU166">
            <v>2</v>
          </cell>
          <cell r="AV166">
            <v>2</v>
          </cell>
          <cell r="AW166">
            <v>2</v>
          </cell>
          <cell r="AX166">
            <v>2</v>
          </cell>
          <cell r="AY166">
            <v>2</v>
          </cell>
          <cell r="AZ166">
            <v>2</v>
          </cell>
          <cell r="BA166">
            <v>2</v>
          </cell>
          <cell r="BB166">
            <v>3</v>
          </cell>
          <cell r="BC166">
            <v>3</v>
          </cell>
          <cell r="BD166">
            <v>3</v>
          </cell>
          <cell r="BE166">
            <v>2</v>
          </cell>
          <cell r="BF166">
            <v>2</v>
          </cell>
          <cell r="BG166">
            <v>2</v>
          </cell>
          <cell r="BH166">
            <v>2</v>
          </cell>
          <cell r="BI166">
            <v>2</v>
          </cell>
          <cell r="BJ166">
            <v>2</v>
          </cell>
          <cell r="BK166">
            <v>2</v>
          </cell>
          <cell r="BL166">
            <v>2</v>
          </cell>
          <cell r="BM166">
            <v>2</v>
          </cell>
          <cell r="BN166">
            <v>2</v>
          </cell>
          <cell r="BO166">
            <v>2</v>
          </cell>
        </row>
        <row r="167">
          <cell r="A167" t="str">
            <v>Slovenia</v>
          </cell>
          <cell r="B167">
            <v>1040</v>
          </cell>
          <cell r="C167">
            <v>1124</v>
          </cell>
          <cell r="D167">
            <v>1208</v>
          </cell>
          <cell r="E167">
            <v>1291</v>
          </cell>
          <cell r="F167">
            <v>1372</v>
          </cell>
          <cell r="G167">
            <v>1451</v>
          </cell>
          <cell r="H167">
            <v>1529</v>
          </cell>
          <cell r="I167">
            <v>1605</v>
          </cell>
          <cell r="J167">
            <v>1679</v>
          </cell>
          <cell r="K167">
            <v>1751</v>
          </cell>
          <cell r="L167">
            <v>1822</v>
          </cell>
          <cell r="M167">
            <v>522</v>
          </cell>
          <cell r="N167">
            <v>580</v>
          </cell>
          <cell r="O167">
            <v>641</v>
          </cell>
          <cell r="P167">
            <v>706</v>
          </cell>
          <cell r="Q167">
            <v>771</v>
          </cell>
          <cell r="R167">
            <v>837</v>
          </cell>
          <cell r="S167">
            <v>904</v>
          </cell>
          <cell r="T167">
            <v>971</v>
          </cell>
          <cell r="U167">
            <v>1038</v>
          </cell>
          <cell r="V167">
            <v>1105</v>
          </cell>
          <cell r="W167">
            <v>1172</v>
          </cell>
          <cell r="X167">
            <v>5</v>
          </cell>
          <cell r="Y167">
            <v>5</v>
          </cell>
          <cell r="Z167">
            <v>5</v>
          </cell>
          <cell r="AA167">
            <v>6</v>
          </cell>
          <cell r="AB167">
            <v>6</v>
          </cell>
          <cell r="AC167">
            <v>7</v>
          </cell>
          <cell r="AD167">
            <v>7</v>
          </cell>
          <cell r="AE167">
            <v>7</v>
          </cell>
          <cell r="AF167">
            <v>8</v>
          </cell>
          <cell r="AG167">
            <v>8</v>
          </cell>
          <cell r="AH167">
            <v>8</v>
          </cell>
          <cell r="AI167">
            <v>0</v>
          </cell>
          <cell r="AJ167">
            <v>0</v>
          </cell>
          <cell r="AK167">
            <v>0</v>
          </cell>
          <cell r="AL167">
            <v>0</v>
          </cell>
          <cell r="AM167">
            <v>0</v>
          </cell>
          <cell r="AN167">
            <v>0</v>
          </cell>
          <cell r="AO167">
            <v>0</v>
          </cell>
          <cell r="AP167">
            <v>0</v>
          </cell>
          <cell r="AQ167">
            <v>0</v>
          </cell>
          <cell r="AR167">
            <v>0</v>
          </cell>
          <cell r="AS167">
            <v>0</v>
          </cell>
          <cell r="AT167">
            <v>2</v>
          </cell>
          <cell r="AU167">
            <v>3</v>
          </cell>
          <cell r="AV167">
            <v>3</v>
          </cell>
          <cell r="AW167">
            <v>3</v>
          </cell>
          <cell r="AX167">
            <v>3</v>
          </cell>
          <cell r="AY167">
            <v>3</v>
          </cell>
          <cell r="AZ167">
            <v>3</v>
          </cell>
          <cell r="BA167">
            <v>3</v>
          </cell>
          <cell r="BB167">
            <v>3</v>
          </cell>
          <cell r="BC167">
            <v>3</v>
          </cell>
          <cell r="BD167">
            <v>3</v>
          </cell>
          <cell r="BE167">
            <v>2</v>
          </cell>
          <cell r="BF167">
            <v>2</v>
          </cell>
          <cell r="BG167">
            <v>3</v>
          </cell>
          <cell r="BH167">
            <v>3</v>
          </cell>
          <cell r="BI167">
            <v>3</v>
          </cell>
          <cell r="BJ167">
            <v>3</v>
          </cell>
          <cell r="BK167">
            <v>3</v>
          </cell>
          <cell r="BL167">
            <v>3</v>
          </cell>
          <cell r="BM167">
            <v>3</v>
          </cell>
          <cell r="BN167">
            <v>3</v>
          </cell>
          <cell r="BO167">
            <v>3</v>
          </cell>
        </row>
        <row r="168">
          <cell r="A168" t="str">
            <v>Solomon Islands</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row>
        <row r="169">
          <cell r="A169" t="str">
            <v>Somalia</v>
          </cell>
          <cell r="B169">
            <v>31082</v>
          </cell>
          <cell r="C169">
            <v>32430</v>
          </cell>
          <cell r="D169">
            <v>33959</v>
          </cell>
          <cell r="E169">
            <v>35675</v>
          </cell>
          <cell r="F169">
            <v>37573</v>
          </cell>
          <cell r="G169">
            <v>39629</v>
          </cell>
          <cell r="H169">
            <v>41813</v>
          </cell>
          <cell r="I169">
            <v>44020</v>
          </cell>
          <cell r="J169">
            <v>46247</v>
          </cell>
          <cell r="K169">
            <v>48500</v>
          </cell>
          <cell r="L169">
            <v>50789</v>
          </cell>
          <cell r="M169">
            <v>3576</v>
          </cell>
          <cell r="N169">
            <v>5074</v>
          </cell>
          <cell r="O169">
            <v>6867</v>
          </cell>
          <cell r="P169">
            <v>9012</v>
          </cell>
          <cell r="Q169">
            <v>11576</v>
          </cell>
          <cell r="R169">
            <v>14612</v>
          </cell>
          <cell r="S169">
            <v>16095</v>
          </cell>
          <cell r="T169">
            <v>17547</v>
          </cell>
          <cell r="U169">
            <v>18968</v>
          </cell>
          <cell r="V169">
            <v>20369</v>
          </cell>
          <cell r="W169">
            <v>21770</v>
          </cell>
          <cell r="X169">
            <v>5412</v>
          </cell>
          <cell r="Y169">
            <v>5548</v>
          </cell>
          <cell r="Z169">
            <v>5682</v>
          </cell>
          <cell r="AA169">
            <v>5808</v>
          </cell>
          <cell r="AB169">
            <v>5927</v>
          </cell>
          <cell r="AC169">
            <v>6075</v>
          </cell>
          <cell r="AD169">
            <v>6374</v>
          </cell>
          <cell r="AE169">
            <v>6762</v>
          </cell>
          <cell r="AF169">
            <v>7153</v>
          </cell>
          <cell r="AG169">
            <v>7563</v>
          </cell>
          <cell r="AH169">
            <v>7974</v>
          </cell>
          <cell r="AI169">
            <v>839</v>
          </cell>
          <cell r="AJ169">
            <v>1178</v>
          </cell>
          <cell r="AK169">
            <v>1558</v>
          </cell>
          <cell r="AL169">
            <v>1987</v>
          </cell>
          <cell r="AM169">
            <v>2485</v>
          </cell>
          <cell r="AN169">
            <v>3047</v>
          </cell>
          <cell r="AO169">
            <v>3457</v>
          </cell>
          <cell r="AP169">
            <v>4000</v>
          </cell>
          <cell r="AQ169">
            <v>4601</v>
          </cell>
          <cell r="AR169">
            <v>5203</v>
          </cell>
          <cell r="AS169">
            <v>5791</v>
          </cell>
          <cell r="AT169">
            <v>2146</v>
          </cell>
          <cell r="AU169">
            <v>2222</v>
          </cell>
          <cell r="AV169">
            <v>2306</v>
          </cell>
          <cell r="AW169">
            <v>2399</v>
          </cell>
          <cell r="AX169">
            <v>2501</v>
          </cell>
          <cell r="AY169">
            <v>2612</v>
          </cell>
          <cell r="AZ169">
            <v>2707</v>
          </cell>
          <cell r="BA169">
            <v>2780</v>
          </cell>
          <cell r="BB169">
            <v>2846</v>
          </cell>
          <cell r="BC169">
            <v>2904</v>
          </cell>
          <cell r="BD169">
            <v>2955</v>
          </cell>
          <cell r="BE169">
            <v>588</v>
          </cell>
          <cell r="BF169">
            <v>816</v>
          </cell>
          <cell r="BG169">
            <v>1066</v>
          </cell>
          <cell r="BH169">
            <v>1332</v>
          </cell>
          <cell r="BI169">
            <v>1618</v>
          </cell>
          <cell r="BJ169">
            <v>1922</v>
          </cell>
          <cell r="BK169">
            <v>1922</v>
          </cell>
          <cell r="BL169">
            <v>1922</v>
          </cell>
          <cell r="BM169">
            <v>1922</v>
          </cell>
          <cell r="BN169">
            <v>1922</v>
          </cell>
          <cell r="BO169">
            <v>1922</v>
          </cell>
        </row>
        <row r="170">
          <cell r="A170" t="str">
            <v>South Africa</v>
          </cell>
          <cell r="B170">
            <v>6260044</v>
          </cell>
          <cell r="C170">
            <v>6432820</v>
          </cell>
          <cell r="D170">
            <v>6599101</v>
          </cell>
          <cell r="E170">
            <v>6758949</v>
          </cell>
          <cell r="F170">
            <v>6913421</v>
          </cell>
          <cell r="G170">
            <v>7064007</v>
          </cell>
          <cell r="H170">
            <v>7214302</v>
          </cell>
          <cell r="I170">
            <v>7363191</v>
          </cell>
          <cell r="J170">
            <v>7509469</v>
          </cell>
          <cell r="K170">
            <v>7645718</v>
          </cell>
          <cell r="L170">
            <v>7776488</v>
          </cell>
          <cell r="M170">
            <v>2996158</v>
          </cell>
          <cell r="N170">
            <v>3310014</v>
          </cell>
          <cell r="O170">
            <v>3535752</v>
          </cell>
          <cell r="P170">
            <v>3746720</v>
          </cell>
          <cell r="Q170">
            <v>3943958</v>
          </cell>
          <cell r="R170">
            <v>4128446</v>
          </cell>
          <cell r="S170">
            <v>4301602</v>
          </cell>
          <cell r="T170">
            <v>4465557</v>
          </cell>
          <cell r="U170">
            <v>4622916</v>
          </cell>
          <cell r="V170">
            <v>4766914</v>
          </cell>
          <cell r="W170">
            <v>4899482</v>
          </cell>
          <cell r="X170">
            <v>370780</v>
          </cell>
          <cell r="Y170">
            <v>344767</v>
          </cell>
          <cell r="Z170">
            <v>320167</v>
          </cell>
          <cell r="AA170">
            <v>294585</v>
          </cell>
          <cell r="AB170">
            <v>268886</v>
          </cell>
          <cell r="AC170">
            <v>243414</v>
          </cell>
          <cell r="AD170">
            <v>215541</v>
          </cell>
          <cell r="AE170">
            <v>187018</v>
          </cell>
          <cell r="AF170">
            <v>157983</v>
          </cell>
          <cell r="AG170">
            <v>136847</v>
          </cell>
          <cell r="AH170">
            <v>117616</v>
          </cell>
          <cell r="AI170">
            <v>166287</v>
          </cell>
          <cell r="AJ170">
            <v>172045</v>
          </cell>
          <cell r="AK170">
            <v>167593</v>
          </cell>
          <cell r="AL170">
            <v>168142</v>
          </cell>
          <cell r="AM170">
            <v>166816</v>
          </cell>
          <cell r="AN170">
            <v>156462</v>
          </cell>
          <cell r="AO170">
            <v>151196</v>
          </cell>
          <cell r="AP170">
            <v>139412</v>
          </cell>
          <cell r="AQ170">
            <v>120877</v>
          </cell>
          <cell r="AR170">
            <v>103646</v>
          </cell>
          <cell r="AS170">
            <v>88590</v>
          </cell>
          <cell r="AT170">
            <v>213860</v>
          </cell>
          <cell r="AU170">
            <v>209455</v>
          </cell>
          <cell r="AV170">
            <v>204484</v>
          </cell>
          <cell r="AW170">
            <v>199166</v>
          </cell>
          <cell r="AX170">
            <v>193786</v>
          </cell>
          <cell r="AY170">
            <v>188543</v>
          </cell>
          <cell r="AZ170">
            <v>183636</v>
          </cell>
          <cell r="BA170">
            <v>179179</v>
          </cell>
          <cell r="BB170">
            <v>175186</v>
          </cell>
          <cell r="BC170">
            <v>171634</v>
          </cell>
          <cell r="BD170">
            <v>168458</v>
          </cell>
          <cell r="BE170">
            <v>213860</v>
          </cell>
          <cell r="BF170">
            <v>209455</v>
          </cell>
          <cell r="BG170">
            <v>204484</v>
          </cell>
          <cell r="BH170">
            <v>199166</v>
          </cell>
          <cell r="BI170">
            <v>193786</v>
          </cell>
          <cell r="BJ170">
            <v>188543</v>
          </cell>
          <cell r="BK170">
            <v>183636</v>
          </cell>
          <cell r="BL170">
            <v>179179</v>
          </cell>
          <cell r="BM170">
            <v>175186</v>
          </cell>
          <cell r="BN170">
            <v>171634</v>
          </cell>
          <cell r="BO170">
            <v>168458</v>
          </cell>
        </row>
        <row r="171">
          <cell r="A171" t="str">
            <v>South Sudan</v>
          </cell>
          <cell r="B171">
            <v>157189</v>
          </cell>
          <cell r="C171">
            <v>163360</v>
          </cell>
          <cell r="D171">
            <v>169752</v>
          </cell>
          <cell r="E171">
            <v>175763</v>
          </cell>
          <cell r="F171">
            <v>181812</v>
          </cell>
          <cell r="G171">
            <v>187926</v>
          </cell>
          <cell r="H171">
            <v>194229</v>
          </cell>
          <cell r="I171">
            <v>200586</v>
          </cell>
          <cell r="J171">
            <v>206983</v>
          </cell>
          <cell r="K171">
            <v>213420</v>
          </cell>
          <cell r="L171">
            <v>219898</v>
          </cell>
          <cell r="M171">
            <v>33298</v>
          </cell>
          <cell r="N171">
            <v>46818</v>
          </cell>
          <cell r="O171">
            <v>63072</v>
          </cell>
          <cell r="P171">
            <v>72693</v>
          </cell>
          <cell r="Q171">
            <v>82599</v>
          </cell>
          <cell r="R171">
            <v>92849</v>
          </cell>
          <cell r="S171">
            <v>99960</v>
          </cell>
          <cell r="T171">
            <v>106696</v>
          </cell>
          <cell r="U171">
            <v>113108</v>
          </cell>
          <cell r="V171">
            <v>119233</v>
          </cell>
          <cell r="W171">
            <v>125107</v>
          </cell>
          <cell r="X171">
            <v>24534</v>
          </cell>
          <cell r="Y171">
            <v>25007</v>
          </cell>
          <cell r="Z171">
            <v>25413</v>
          </cell>
          <cell r="AA171">
            <v>25688</v>
          </cell>
          <cell r="AB171">
            <v>25844</v>
          </cell>
          <cell r="AC171">
            <v>25880</v>
          </cell>
          <cell r="AD171">
            <v>25980</v>
          </cell>
          <cell r="AE171">
            <v>25975</v>
          </cell>
          <cell r="AF171">
            <v>25786</v>
          </cell>
          <cell r="AG171">
            <v>25532</v>
          </cell>
          <cell r="AH171">
            <v>25236</v>
          </cell>
          <cell r="AI171">
            <v>1381</v>
          </cell>
          <cell r="AJ171">
            <v>1961</v>
          </cell>
          <cell r="AK171">
            <v>2564</v>
          </cell>
          <cell r="AL171">
            <v>3193</v>
          </cell>
          <cell r="AM171">
            <v>3826</v>
          </cell>
          <cell r="AN171">
            <v>4480</v>
          </cell>
          <cell r="AO171">
            <v>4631</v>
          </cell>
          <cell r="AP171">
            <v>4807</v>
          </cell>
          <cell r="AQ171">
            <v>4929</v>
          </cell>
          <cell r="AR171">
            <v>4991</v>
          </cell>
          <cell r="AS171">
            <v>5031</v>
          </cell>
          <cell r="AT171">
            <v>9625</v>
          </cell>
          <cell r="AU171">
            <v>9883</v>
          </cell>
          <cell r="AV171">
            <v>10118</v>
          </cell>
          <cell r="AW171">
            <v>10268</v>
          </cell>
          <cell r="AX171">
            <v>10330</v>
          </cell>
          <cell r="AY171">
            <v>10382</v>
          </cell>
          <cell r="AZ171">
            <v>10373</v>
          </cell>
          <cell r="BA171">
            <v>10297</v>
          </cell>
          <cell r="BB171">
            <v>10200</v>
          </cell>
          <cell r="BC171">
            <v>10088</v>
          </cell>
          <cell r="BD171">
            <v>9969</v>
          </cell>
          <cell r="BE171">
            <v>4128</v>
          </cell>
          <cell r="BF171">
            <v>5997</v>
          </cell>
          <cell r="BG171">
            <v>7677</v>
          </cell>
          <cell r="BH171">
            <v>8285</v>
          </cell>
          <cell r="BI171">
            <v>8892</v>
          </cell>
          <cell r="BJ171">
            <v>9500</v>
          </cell>
          <cell r="BK171">
            <v>9500</v>
          </cell>
          <cell r="BL171">
            <v>9500</v>
          </cell>
          <cell r="BM171">
            <v>9500</v>
          </cell>
          <cell r="BN171">
            <v>9500</v>
          </cell>
          <cell r="BO171">
            <v>9500</v>
          </cell>
        </row>
        <row r="172">
          <cell r="A172" t="str">
            <v>Spain</v>
          </cell>
          <cell r="B172">
            <v>121368</v>
          </cell>
          <cell r="C172">
            <v>123664</v>
          </cell>
          <cell r="D172">
            <v>125900</v>
          </cell>
          <cell r="E172">
            <v>128083</v>
          </cell>
          <cell r="F172">
            <v>130214</v>
          </cell>
          <cell r="G172">
            <v>132293</v>
          </cell>
          <cell r="H172">
            <v>134316</v>
          </cell>
          <cell r="I172">
            <v>136277</v>
          </cell>
          <cell r="J172">
            <v>138172</v>
          </cell>
          <cell r="K172">
            <v>139994</v>
          </cell>
          <cell r="L172">
            <v>141739</v>
          </cell>
          <cell r="M172">
            <v>95898</v>
          </cell>
          <cell r="N172">
            <v>98605</v>
          </cell>
          <cell r="O172">
            <v>101210</v>
          </cell>
          <cell r="P172">
            <v>103727</v>
          </cell>
          <cell r="Q172">
            <v>106161</v>
          </cell>
          <cell r="R172">
            <v>108514</v>
          </cell>
          <cell r="S172">
            <v>110785</v>
          </cell>
          <cell r="T172">
            <v>112973</v>
          </cell>
          <cell r="U172">
            <v>115075</v>
          </cell>
          <cell r="V172">
            <v>117090</v>
          </cell>
          <cell r="W172">
            <v>119017</v>
          </cell>
          <cell r="X172">
            <v>300</v>
          </cell>
          <cell r="Y172">
            <v>336</v>
          </cell>
          <cell r="Z172">
            <v>377</v>
          </cell>
          <cell r="AA172">
            <v>427</v>
          </cell>
          <cell r="AB172">
            <v>479</v>
          </cell>
          <cell r="AC172">
            <v>535</v>
          </cell>
          <cell r="AD172">
            <v>589</v>
          </cell>
          <cell r="AE172">
            <v>641</v>
          </cell>
          <cell r="AF172">
            <v>693</v>
          </cell>
          <cell r="AG172">
            <v>742</v>
          </cell>
          <cell r="AH172">
            <v>788</v>
          </cell>
          <cell r="AI172">
            <v>136</v>
          </cell>
          <cell r="AJ172">
            <v>139</v>
          </cell>
          <cell r="AK172">
            <v>164</v>
          </cell>
          <cell r="AL172">
            <v>198</v>
          </cell>
          <cell r="AM172">
            <v>239</v>
          </cell>
          <cell r="AN172">
            <v>286</v>
          </cell>
          <cell r="AO172">
            <v>335</v>
          </cell>
          <cell r="AP172">
            <v>386</v>
          </cell>
          <cell r="AQ172">
            <v>438</v>
          </cell>
          <cell r="AR172">
            <v>492</v>
          </cell>
          <cell r="AS172">
            <v>545</v>
          </cell>
          <cell r="AT172">
            <v>430</v>
          </cell>
          <cell r="AU172">
            <v>419</v>
          </cell>
          <cell r="AV172">
            <v>410</v>
          </cell>
          <cell r="AW172">
            <v>404</v>
          </cell>
          <cell r="AX172">
            <v>399</v>
          </cell>
          <cell r="AY172">
            <v>395</v>
          </cell>
          <cell r="AZ172">
            <v>392</v>
          </cell>
          <cell r="BA172">
            <v>390</v>
          </cell>
          <cell r="BB172">
            <v>389</v>
          </cell>
          <cell r="BC172">
            <v>389</v>
          </cell>
          <cell r="BD172">
            <v>387</v>
          </cell>
          <cell r="BE172">
            <v>412</v>
          </cell>
          <cell r="BF172">
            <v>390</v>
          </cell>
          <cell r="BG172">
            <v>373</v>
          </cell>
          <cell r="BH172">
            <v>359</v>
          </cell>
          <cell r="BI172">
            <v>348</v>
          </cell>
          <cell r="BJ172">
            <v>340</v>
          </cell>
          <cell r="BK172">
            <v>340</v>
          </cell>
          <cell r="BL172">
            <v>340</v>
          </cell>
          <cell r="BM172">
            <v>340</v>
          </cell>
          <cell r="BN172">
            <v>340</v>
          </cell>
          <cell r="BO172">
            <v>340</v>
          </cell>
        </row>
        <row r="173">
          <cell r="A173" t="str">
            <v>Sri Lanka</v>
          </cell>
          <cell r="B173">
            <v>3969</v>
          </cell>
          <cell r="C173">
            <v>4388</v>
          </cell>
          <cell r="D173">
            <v>4766</v>
          </cell>
          <cell r="E173">
            <v>5117</v>
          </cell>
          <cell r="F173">
            <v>5457</v>
          </cell>
          <cell r="G173">
            <v>5802</v>
          </cell>
          <cell r="H173">
            <v>6116</v>
          </cell>
          <cell r="I173">
            <v>6406</v>
          </cell>
          <cell r="J173">
            <v>6671</v>
          </cell>
          <cell r="K173">
            <v>6912</v>
          </cell>
          <cell r="L173">
            <v>7130</v>
          </cell>
          <cell r="M173">
            <v>462</v>
          </cell>
          <cell r="N173">
            <v>646</v>
          </cell>
          <cell r="O173">
            <v>651</v>
          </cell>
          <cell r="P173">
            <v>662</v>
          </cell>
          <cell r="Q173">
            <v>669</v>
          </cell>
          <cell r="R173">
            <v>673</v>
          </cell>
          <cell r="S173">
            <v>718</v>
          </cell>
          <cell r="T173">
            <v>763</v>
          </cell>
          <cell r="U173">
            <v>806</v>
          </cell>
          <cell r="V173">
            <v>848</v>
          </cell>
          <cell r="W173">
            <v>887</v>
          </cell>
          <cell r="X173">
            <v>93</v>
          </cell>
          <cell r="Y173">
            <v>102</v>
          </cell>
          <cell r="Z173">
            <v>111</v>
          </cell>
          <cell r="AA173">
            <v>121</v>
          </cell>
          <cell r="AB173">
            <v>131</v>
          </cell>
          <cell r="AC173">
            <v>141</v>
          </cell>
          <cell r="AD173">
            <v>151</v>
          </cell>
          <cell r="AE173">
            <v>160</v>
          </cell>
          <cell r="AF173">
            <v>169</v>
          </cell>
          <cell r="AG173">
            <v>178</v>
          </cell>
          <cell r="AH173">
            <v>185</v>
          </cell>
          <cell r="AI173">
            <v>22</v>
          </cell>
          <cell r="AJ173">
            <v>22</v>
          </cell>
          <cell r="AK173">
            <v>22</v>
          </cell>
          <cell r="AL173">
            <v>22</v>
          </cell>
          <cell r="AM173">
            <v>22</v>
          </cell>
          <cell r="AN173">
            <v>22</v>
          </cell>
          <cell r="AO173">
            <v>23</v>
          </cell>
          <cell r="AP173">
            <v>23</v>
          </cell>
          <cell r="AQ173">
            <v>24</v>
          </cell>
          <cell r="AR173">
            <v>24</v>
          </cell>
          <cell r="AS173">
            <v>25</v>
          </cell>
          <cell r="AT173">
            <v>58</v>
          </cell>
          <cell r="AU173">
            <v>63</v>
          </cell>
          <cell r="AV173">
            <v>68</v>
          </cell>
          <cell r="AW173">
            <v>72</v>
          </cell>
          <cell r="AX173">
            <v>76</v>
          </cell>
          <cell r="AY173">
            <v>79</v>
          </cell>
          <cell r="AZ173">
            <v>83</v>
          </cell>
          <cell r="BA173">
            <v>86</v>
          </cell>
          <cell r="BB173">
            <v>89</v>
          </cell>
          <cell r="BC173">
            <v>91</v>
          </cell>
          <cell r="BD173">
            <v>93</v>
          </cell>
          <cell r="BE173">
            <v>5</v>
          </cell>
          <cell r="BF173">
            <v>5</v>
          </cell>
          <cell r="BG173">
            <v>5</v>
          </cell>
          <cell r="BH173">
            <v>5</v>
          </cell>
          <cell r="BI173">
            <v>5</v>
          </cell>
          <cell r="BJ173">
            <v>5</v>
          </cell>
          <cell r="BK173">
            <v>5</v>
          </cell>
          <cell r="BL173">
            <v>5</v>
          </cell>
          <cell r="BM173">
            <v>5</v>
          </cell>
          <cell r="BN173">
            <v>5</v>
          </cell>
          <cell r="BO173">
            <v>5</v>
          </cell>
        </row>
        <row r="174">
          <cell r="A174" t="str">
            <v>Sub-Saharan Africa</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row>
        <row r="175">
          <cell r="A175" t="str">
            <v>Sudan</v>
          </cell>
          <cell r="B175">
            <v>51370</v>
          </cell>
          <cell r="C175">
            <v>53311</v>
          </cell>
          <cell r="D175">
            <v>55129</v>
          </cell>
          <cell r="E175">
            <v>56799</v>
          </cell>
          <cell r="F175">
            <v>58367</v>
          </cell>
          <cell r="G175">
            <v>59832</v>
          </cell>
          <cell r="H175">
            <v>61252</v>
          </cell>
          <cell r="I175">
            <v>62600</v>
          </cell>
          <cell r="J175">
            <v>63901</v>
          </cell>
          <cell r="K175">
            <v>65165</v>
          </cell>
          <cell r="L175">
            <v>66406</v>
          </cell>
          <cell r="M175">
            <v>4922</v>
          </cell>
          <cell r="N175">
            <v>7463</v>
          </cell>
          <cell r="O175">
            <v>8543</v>
          </cell>
          <cell r="P175">
            <v>9713</v>
          </cell>
          <cell r="Q175">
            <v>10908</v>
          </cell>
          <cell r="R175">
            <v>12117</v>
          </cell>
          <cell r="S175">
            <v>12703</v>
          </cell>
          <cell r="T175">
            <v>13209</v>
          </cell>
          <cell r="U175">
            <v>13653</v>
          </cell>
          <cell r="V175">
            <v>14046</v>
          </cell>
          <cell r="W175">
            <v>14396</v>
          </cell>
          <cell r="X175">
            <v>4337</v>
          </cell>
          <cell r="Y175">
            <v>4386</v>
          </cell>
          <cell r="Z175">
            <v>4433</v>
          </cell>
          <cell r="AA175">
            <v>4440</v>
          </cell>
          <cell r="AB175">
            <v>4429</v>
          </cell>
          <cell r="AC175">
            <v>4396</v>
          </cell>
          <cell r="AD175">
            <v>4359</v>
          </cell>
          <cell r="AE175">
            <v>4296</v>
          </cell>
          <cell r="AF175">
            <v>4208</v>
          </cell>
          <cell r="AG175">
            <v>4125</v>
          </cell>
          <cell r="AH175">
            <v>4054</v>
          </cell>
          <cell r="AI175">
            <v>306</v>
          </cell>
          <cell r="AJ175">
            <v>364</v>
          </cell>
          <cell r="AK175">
            <v>417</v>
          </cell>
          <cell r="AL175">
            <v>466</v>
          </cell>
          <cell r="AM175">
            <v>518</v>
          </cell>
          <cell r="AN175">
            <v>580</v>
          </cell>
          <cell r="AO175">
            <v>579</v>
          </cell>
          <cell r="AP175">
            <v>581</v>
          </cell>
          <cell r="AQ175">
            <v>580</v>
          </cell>
          <cell r="AR175">
            <v>577</v>
          </cell>
          <cell r="AS175">
            <v>580</v>
          </cell>
          <cell r="AT175">
            <v>2351</v>
          </cell>
          <cell r="AU175">
            <v>2381</v>
          </cell>
          <cell r="AV175">
            <v>2392</v>
          </cell>
          <cell r="AW175">
            <v>2380</v>
          </cell>
          <cell r="AX175">
            <v>2357</v>
          </cell>
          <cell r="AY175">
            <v>2325</v>
          </cell>
          <cell r="AZ175">
            <v>2282</v>
          </cell>
          <cell r="BA175">
            <v>2236</v>
          </cell>
          <cell r="BB175">
            <v>2190</v>
          </cell>
          <cell r="BC175">
            <v>2147</v>
          </cell>
          <cell r="BD175">
            <v>2110</v>
          </cell>
          <cell r="BE175">
            <v>1225</v>
          </cell>
          <cell r="BF175">
            <v>1800</v>
          </cell>
          <cell r="BG175">
            <v>2100</v>
          </cell>
          <cell r="BH175">
            <v>2380</v>
          </cell>
          <cell r="BI175">
            <v>2357</v>
          </cell>
          <cell r="BJ175">
            <v>2325</v>
          </cell>
          <cell r="BK175">
            <v>2282</v>
          </cell>
          <cell r="BL175">
            <v>2236</v>
          </cell>
          <cell r="BM175">
            <v>2190</v>
          </cell>
          <cell r="BN175">
            <v>2147</v>
          </cell>
          <cell r="BO175">
            <v>2110</v>
          </cell>
        </row>
        <row r="176">
          <cell r="A176" t="str">
            <v>Suriname</v>
          </cell>
          <cell r="B176">
            <v>3309</v>
          </cell>
          <cell r="C176">
            <v>3356</v>
          </cell>
          <cell r="D176">
            <v>3399</v>
          </cell>
          <cell r="E176">
            <v>3441</v>
          </cell>
          <cell r="F176">
            <v>3483</v>
          </cell>
          <cell r="G176">
            <v>3525</v>
          </cell>
          <cell r="H176">
            <v>3563</v>
          </cell>
          <cell r="I176">
            <v>3598</v>
          </cell>
          <cell r="J176">
            <v>3628</v>
          </cell>
          <cell r="K176">
            <v>3656</v>
          </cell>
          <cell r="L176">
            <v>3682</v>
          </cell>
          <cell r="M176">
            <v>1538</v>
          </cell>
          <cell r="N176">
            <v>1555</v>
          </cell>
          <cell r="O176">
            <v>1576</v>
          </cell>
          <cell r="P176">
            <v>1604</v>
          </cell>
          <cell r="Q176">
            <v>1636</v>
          </cell>
          <cell r="R176">
            <v>1668</v>
          </cell>
          <cell r="S176">
            <v>1691</v>
          </cell>
          <cell r="T176">
            <v>1711</v>
          </cell>
          <cell r="U176">
            <v>1728</v>
          </cell>
          <cell r="V176">
            <v>1743</v>
          </cell>
          <cell r="W176">
            <v>1757</v>
          </cell>
          <cell r="X176">
            <v>225</v>
          </cell>
          <cell r="Y176">
            <v>228</v>
          </cell>
          <cell r="Z176">
            <v>230</v>
          </cell>
          <cell r="AA176">
            <v>234</v>
          </cell>
          <cell r="AB176">
            <v>237</v>
          </cell>
          <cell r="AC176">
            <v>242</v>
          </cell>
          <cell r="AD176">
            <v>248</v>
          </cell>
          <cell r="AE176">
            <v>256</v>
          </cell>
          <cell r="AF176">
            <v>266</v>
          </cell>
          <cell r="AG176">
            <v>279</v>
          </cell>
          <cell r="AH176">
            <v>291</v>
          </cell>
          <cell r="AI176">
            <v>95</v>
          </cell>
          <cell r="AJ176">
            <v>109</v>
          </cell>
          <cell r="AK176">
            <v>127</v>
          </cell>
          <cell r="AL176">
            <v>140</v>
          </cell>
          <cell r="AM176">
            <v>153</v>
          </cell>
          <cell r="AN176">
            <v>165</v>
          </cell>
          <cell r="AO176">
            <v>179</v>
          </cell>
          <cell r="AP176">
            <v>193</v>
          </cell>
          <cell r="AQ176">
            <v>209</v>
          </cell>
          <cell r="AR176">
            <v>227</v>
          </cell>
          <cell r="AS176">
            <v>242</v>
          </cell>
          <cell r="AT176">
            <v>49</v>
          </cell>
          <cell r="AU176">
            <v>48</v>
          </cell>
          <cell r="AV176">
            <v>46</v>
          </cell>
          <cell r="AW176">
            <v>46</v>
          </cell>
          <cell r="AX176">
            <v>45</v>
          </cell>
          <cell r="AY176">
            <v>45</v>
          </cell>
          <cell r="AZ176">
            <v>45</v>
          </cell>
          <cell r="BA176">
            <v>45</v>
          </cell>
          <cell r="BB176">
            <v>45</v>
          </cell>
          <cell r="BC176">
            <v>46</v>
          </cell>
          <cell r="BD176">
            <v>46</v>
          </cell>
          <cell r="BE176">
            <v>49</v>
          </cell>
          <cell r="BF176">
            <v>47</v>
          </cell>
          <cell r="BG176">
            <v>45</v>
          </cell>
          <cell r="BH176">
            <v>43</v>
          </cell>
          <cell r="BI176">
            <v>42</v>
          </cell>
          <cell r="BJ176">
            <v>41</v>
          </cell>
          <cell r="BK176">
            <v>41</v>
          </cell>
          <cell r="BL176">
            <v>41</v>
          </cell>
          <cell r="BM176">
            <v>41</v>
          </cell>
          <cell r="BN176">
            <v>41</v>
          </cell>
          <cell r="BO176">
            <v>41</v>
          </cell>
        </row>
        <row r="177">
          <cell r="A177" t="str">
            <v>Swaziland</v>
          </cell>
          <cell r="B177">
            <v>217016</v>
          </cell>
          <cell r="C177">
            <v>217996</v>
          </cell>
          <cell r="D177">
            <v>218706</v>
          </cell>
          <cell r="E177">
            <v>219368</v>
          </cell>
          <cell r="F177">
            <v>220002</v>
          </cell>
          <cell r="G177">
            <v>220667</v>
          </cell>
          <cell r="H177">
            <v>221680</v>
          </cell>
          <cell r="I177">
            <v>222852</v>
          </cell>
          <cell r="J177">
            <v>224116</v>
          </cell>
          <cell r="K177">
            <v>225260</v>
          </cell>
          <cell r="L177">
            <v>226275</v>
          </cell>
          <cell r="M177">
            <v>83378</v>
          </cell>
          <cell r="N177">
            <v>90354</v>
          </cell>
          <cell r="O177">
            <v>97650</v>
          </cell>
          <cell r="P177">
            <v>105369</v>
          </cell>
          <cell r="Q177">
            <v>113503</v>
          </cell>
          <cell r="R177">
            <v>122020</v>
          </cell>
          <cell r="S177">
            <v>125838</v>
          </cell>
          <cell r="T177">
            <v>129303</v>
          </cell>
          <cell r="U177">
            <v>132413</v>
          </cell>
          <cell r="V177">
            <v>135055</v>
          </cell>
          <cell r="W177">
            <v>137206</v>
          </cell>
          <cell r="X177">
            <v>20819</v>
          </cell>
          <cell r="Y177">
            <v>20077</v>
          </cell>
          <cell r="Z177">
            <v>19425</v>
          </cell>
          <cell r="AA177">
            <v>18831</v>
          </cell>
          <cell r="AB177">
            <v>18209</v>
          </cell>
          <cell r="AC177">
            <v>17472</v>
          </cell>
          <cell r="AD177">
            <v>16666</v>
          </cell>
          <cell r="AE177">
            <v>15572</v>
          </cell>
          <cell r="AF177">
            <v>14246</v>
          </cell>
          <cell r="AG177">
            <v>12972</v>
          </cell>
          <cell r="AH177">
            <v>11837</v>
          </cell>
          <cell r="AI177">
            <v>7316</v>
          </cell>
          <cell r="AJ177">
            <v>7586</v>
          </cell>
          <cell r="AK177">
            <v>7852</v>
          </cell>
          <cell r="AL177">
            <v>8230</v>
          </cell>
          <cell r="AM177">
            <v>8533</v>
          </cell>
          <cell r="AN177">
            <v>8712</v>
          </cell>
          <cell r="AO177">
            <v>8416</v>
          </cell>
          <cell r="AP177">
            <v>7946</v>
          </cell>
          <cell r="AQ177">
            <v>7262</v>
          </cell>
          <cell r="AR177">
            <v>6520</v>
          </cell>
          <cell r="AS177">
            <v>5889</v>
          </cell>
          <cell r="AT177">
            <v>11581</v>
          </cell>
          <cell r="AU177">
            <v>11213</v>
          </cell>
          <cell r="AV177">
            <v>10790</v>
          </cell>
          <cell r="AW177">
            <v>10345</v>
          </cell>
          <cell r="AX177">
            <v>9883</v>
          </cell>
          <cell r="AY177">
            <v>9413</v>
          </cell>
          <cell r="AZ177">
            <v>8960</v>
          </cell>
          <cell r="BA177">
            <v>8539</v>
          </cell>
          <cell r="BB177">
            <v>8147</v>
          </cell>
          <cell r="BC177">
            <v>7786</v>
          </cell>
          <cell r="BD177">
            <v>7454</v>
          </cell>
          <cell r="BE177">
            <v>8886</v>
          </cell>
          <cell r="BF177">
            <v>8727</v>
          </cell>
          <cell r="BG177">
            <v>8509</v>
          </cell>
          <cell r="BH177">
            <v>8267</v>
          </cell>
          <cell r="BI177">
            <v>8008</v>
          </cell>
          <cell r="BJ177">
            <v>7718</v>
          </cell>
          <cell r="BK177">
            <v>7718</v>
          </cell>
          <cell r="BL177">
            <v>7718</v>
          </cell>
          <cell r="BM177">
            <v>7718</v>
          </cell>
          <cell r="BN177">
            <v>7718</v>
          </cell>
          <cell r="BO177">
            <v>7454</v>
          </cell>
        </row>
        <row r="178">
          <cell r="A178" t="str">
            <v>Sweden</v>
          </cell>
          <cell r="B178">
            <v>10495</v>
          </cell>
          <cell r="C178">
            <v>10813</v>
          </cell>
          <cell r="D178">
            <v>11126</v>
          </cell>
          <cell r="E178">
            <v>11434</v>
          </cell>
          <cell r="F178">
            <v>11738</v>
          </cell>
          <cell r="G178">
            <v>12037</v>
          </cell>
          <cell r="H178">
            <v>12331</v>
          </cell>
          <cell r="I178">
            <v>12620</v>
          </cell>
          <cell r="J178">
            <v>12904</v>
          </cell>
          <cell r="K178">
            <v>13185</v>
          </cell>
          <cell r="L178">
            <v>13460</v>
          </cell>
          <cell r="M178">
            <v>7603</v>
          </cell>
          <cell r="N178">
            <v>7937</v>
          </cell>
          <cell r="O178">
            <v>8263</v>
          </cell>
          <cell r="P178">
            <v>8583</v>
          </cell>
          <cell r="Q178">
            <v>8896</v>
          </cell>
          <cell r="R178">
            <v>9202</v>
          </cell>
          <cell r="S178">
            <v>9502</v>
          </cell>
          <cell r="T178">
            <v>9795</v>
          </cell>
          <cell r="U178">
            <v>10081</v>
          </cell>
          <cell r="V178">
            <v>10364</v>
          </cell>
          <cell r="W178">
            <v>10641</v>
          </cell>
          <cell r="X178">
            <v>50</v>
          </cell>
          <cell r="Y178">
            <v>56</v>
          </cell>
          <cell r="Z178">
            <v>62</v>
          </cell>
          <cell r="AA178">
            <v>68</v>
          </cell>
          <cell r="AB178">
            <v>76</v>
          </cell>
          <cell r="AC178">
            <v>84</v>
          </cell>
          <cell r="AD178">
            <v>92</v>
          </cell>
          <cell r="AE178">
            <v>101</v>
          </cell>
          <cell r="AF178">
            <v>110</v>
          </cell>
          <cell r="AG178">
            <v>116</v>
          </cell>
          <cell r="AH178">
            <v>123</v>
          </cell>
          <cell r="AI178">
            <v>23</v>
          </cell>
          <cell r="AJ178">
            <v>28</v>
          </cell>
          <cell r="AK178">
            <v>33</v>
          </cell>
          <cell r="AL178">
            <v>39</v>
          </cell>
          <cell r="AM178">
            <v>45</v>
          </cell>
          <cell r="AN178">
            <v>50</v>
          </cell>
          <cell r="AO178">
            <v>56</v>
          </cell>
          <cell r="AP178">
            <v>63</v>
          </cell>
          <cell r="AQ178">
            <v>69</v>
          </cell>
          <cell r="AR178">
            <v>75</v>
          </cell>
          <cell r="AS178">
            <v>80</v>
          </cell>
          <cell r="AT178">
            <v>80</v>
          </cell>
          <cell r="AU178">
            <v>82</v>
          </cell>
          <cell r="AV178">
            <v>83</v>
          </cell>
          <cell r="AW178">
            <v>85</v>
          </cell>
          <cell r="AX178">
            <v>86</v>
          </cell>
          <cell r="AY178">
            <v>87</v>
          </cell>
          <cell r="AZ178">
            <v>88</v>
          </cell>
          <cell r="BA178">
            <v>89</v>
          </cell>
          <cell r="BB178">
            <v>89</v>
          </cell>
          <cell r="BC178">
            <v>89</v>
          </cell>
          <cell r="BD178">
            <v>89</v>
          </cell>
          <cell r="BE178">
            <v>80</v>
          </cell>
          <cell r="BF178">
            <v>81</v>
          </cell>
          <cell r="BG178">
            <v>81</v>
          </cell>
          <cell r="BH178">
            <v>82</v>
          </cell>
          <cell r="BI178">
            <v>82</v>
          </cell>
          <cell r="BJ178">
            <v>83</v>
          </cell>
          <cell r="BK178">
            <v>83</v>
          </cell>
          <cell r="BL178">
            <v>83</v>
          </cell>
          <cell r="BM178">
            <v>83</v>
          </cell>
          <cell r="BN178">
            <v>83</v>
          </cell>
          <cell r="BO178">
            <v>83</v>
          </cell>
        </row>
        <row r="179">
          <cell r="A179" t="str">
            <v>Switzerland</v>
          </cell>
          <cell r="B179">
            <v>19350</v>
          </cell>
          <cell r="C179">
            <v>19905</v>
          </cell>
          <cell r="D179">
            <v>20423</v>
          </cell>
          <cell r="E179">
            <v>20921</v>
          </cell>
          <cell r="F179">
            <v>21398</v>
          </cell>
          <cell r="G179">
            <v>21858</v>
          </cell>
          <cell r="H179">
            <v>22298</v>
          </cell>
          <cell r="I179">
            <v>22720</v>
          </cell>
          <cell r="J179">
            <v>23124</v>
          </cell>
          <cell r="K179">
            <v>23510</v>
          </cell>
          <cell r="L179">
            <v>23879</v>
          </cell>
          <cell r="M179">
            <v>12454</v>
          </cell>
          <cell r="N179">
            <v>12920</v>
          </cell>
          <cell r="O179">
            <v>13356</v>
          </cell>
          <cell r="P179">
            <v>13778</v>
          </cell>
          <cell r="Q179">
            <v>14185</v>
          </cell>
          <cell r="R179">
            <v>14576</v>
          </cell>
          <cell r="S179">
            <v>14954</v>
          </cell>
          <cell r="T179">
            <v>15317</v>
          </cell>
          <cell r="U179">
            <v>15665</v>
          </cell>
          <cell r="V179">
            <v>15997</v>
          </cell>
          <cell r="W179">
            <v>16315</v>
          </cell>
          <cell r="X179">
            <v>53</v>
          </cell>
          <cell r="Y179">
            <v>56</v>
          </cell>
          <cell r="Z179">
            <v>60</v>
          </cell>
          <cell r="AA179">
            <v>64</v>
          </cell>
          <cell r="AB179">
            <v>67</v>
          </cell>
          <cell r="AC179">
            <v>70</v>
          </cell>
          <cell r="AD179">
            <v>74</v>
          </cell>
          <cell r="AE179">
            <v>78</v>
          </cell>
          <cell r="AF179">
            <v>82</v>
          </cell>
          <cell r="AG179">
            <v>85</v>
          </cell>
          <cell r="AH179">
            <v>88</v>
          </cell>
          <cell r="AI179">
            <v>0</v>
          </cell>
          <cell r="AJ179">
            <v>0</v>
          </cell>
          <cell r="AK179">
            <v>0</v>
          </cell>
          <cell r="AL179">
            <v>0</v>
          </cell>
          <cell r="AM179">
            <v>0</v>
          </cell>
          <cell r="AN179">
            <v>0</v>
          </cell>
          <cell r="AO179">
            <v>0</v>
          </cell>
          <cell r="AP179">
            <v>0</v>
          </cell>
          <cell r="AQ179">
            <v>0</v>
          </cell>
          <cell r="AR179">
            <v>0</v>
          </cell>
          <cell r="AS179">
            <v>0</v>
          </cell>
          <cell r="AT179">
            <v>126</v>
          </cell>
          <cell r="AU179">
            <v>127</v>
          </cell>
          <cell r="AV179">
            <v>129</v>
          </cell>
          <cell r="AW179">
            <v>131</v>
          </cell>
          <cell r="AX179">
            <v>133</v>
          </cell>
          <cell r="AY179">
            <v>135</v>
          </cell>
          <cell r="AZ179">
            <v>136</v>
          </cell>
          <cell r="BA179">
            <v>137</v>
          </cell>
          <cell r="BB179">
            <v>138</v>
          </cell>
          <cell r="BC179">
            <v>139</v>
          </cell>
          <cell r="BD179">
            <v>139</v>
          </cell>
          <cell r="BE179">
            <v>117</v>
          </cell>
          <cell r="BF179">
            <v>119</v>
          </cell>
          <cell r="BG179">
            <v>120</v>
          </cell>
          <cell r="BH179">
            <v>122</v>
          </cell>
          <cell r="BI179">
            <v>124</v>
          </cell>
          <cell r="BJ179">
            <v>126</v>
          </cell>
          <cell r="BK179">
            <v>126</v>
          </cell>
          <cell r="BL179">
            <v>126</v>
          </cell>
          <cell r="BM179">
            <v>126</v>
          </cell>
          <cell r="BN179">
            <v>126</v>
          </cell>
          <cell r="BO179">
            <v>126</v>
          </cell>
        </row>
        <row r="180">
          <cell r="A180" t="str">
            <v>Syrian Arab Republic</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row>
        <row r="181">
          <cell r="A181" t="str">
            <v>Tajikistan</v>
          </cell>
          <cell r="B181">
            <v>17132</v>
          </cell>
          <cell r="C181">
            <v>17793</v>
          </cell>
          <cell r="D181">
            <v>18465</v>
          </cell>
          <cell r="E181">
            <v>19169</v>
          </cell>
          <cell r="F181">
            <v>19876</v>
          </cell>
          <cell r="G181">
            <v>20592</v>
          </cell>
          <cell r="H181">
            <v>21287</v>
          </cell>
          <cell r="I181">
            <v>21959</v>
          </cell>
          <cell r="J181">
            <v>22615</v>
          </cell>
          <cell r="K181">
            <v>23257</v>
          </cell>
          <cell r="L181">
            <v>23893</v>
          </cell>
          <cell r="M181">
            <v>978</v>
          </cell>
          <cell r="N181">
            <v>1111</v>
          </cell>
          <cell r="O181">
            <v>1260</v>
          </cell>
          <cell r="P181">
            <v>1361</v>
          </cell>
          <cell r="Q181">
            <v>1465</v>
          </cell>
          <cell r="R181">
            <v>1569</v>
          </cell>
          <cell r="S181">
            <v>1633</v>
          </cell>
          <cell r="T181">
            <v>1695</v>
          </cell>
          <cell r="U181">
            <v>1757</v>
          </cell>
          <cell r="V181">
            <v>1818</v>
          </cell>
          <cell r="W181">
            <v>1878</v>
          </cell>
          <cell r="X181">
            <v>867</v>
          </cell>
          <cell r="Y181">
            <v>896</v>
          </cell>
          <cell r="Z181">
            <v>941</v>
          </cell>
          <cell r="AA181">
            <v>991</v>
          </cell>
          <cell r="AB181">
            <v>1048</v>
          </cell>
          <cell r="AC181">
            <v>1105</v>
          </cell>
          <cell r="AD181">
            <v>1166</v>
          </cell>
          <cell r="AE181">
            <v>1227</v>
          </cell>
          <cell r="AF181">
            <v>1278</v>
          </cell>
          <cell r="AG181">
            <v>1322</v>
          </cell>
          <cell r="AH181">
            <v>1359</v>
          </cell>
          <cell r="AI181">
            <v>236</v>
          </cell>
          <cell r="AJ181">
            <v>278</v>
          </cell>
          <cell r="AK181">
            <v>315</v>
          </cell>
          <cell r="AL181">
            <v>358</v>
          </cell>
          <cell r="AM181">
            <v>401</v>
          </cell>
          <cell r="AN181">
            <v>455</v>
          </cell>
          <cell r="AO181">
            <v>488</v>
          </cell>
          <cell r="AP181">
            <v>522</v>
          </cell>
          <cell r="AQ181">
            <v>551</v>
          </cell>
          <cell r="AR181">
            <v>571</v>
          </cell>
          <cell r="AS181">
            <v>585</v>
          </cell>
          <cell r="AT181">
            <v>457</v>
          </cell>
          <cell r="AU181">
            <v>474</v>
          </cell>
          <cell r="AV181">
            <v>492</v>
          </cell>
          <cell r="AW181">
            <v>511</v>
          </cell>
          <cell r="AX181">
            <v>530</v>
          </cell>
          <cell r="AY181">
            <v>548</v>
          </cell>
          <cell r="AZ181">
            <v>564</v>
          </cell>
          <cell r="BA181">
            <v>577</v>
          </cell>
          <cell r="BB181">
            <v>588</v>
          </cell>
          <cell r="BC181">
            <v>598</v>
          </cell>
          <cell r="BD181">
            <v>606</v>
          </cell>
          <cell r="BE181">
            <v>134</v>
          </cell>
          <cell r="BF181">
            <v>142</v>
          </cell>
          <cell r="BG181">
            <v>150</v>
          </cell>
          <cell r="BH181">
            <v>159</v>
          </cell>
          <cell r="BI181">
            <v>169</v>
          </cell>
          <cell r="BJ181">
            <v>178</v>
          </cell>
          <cell r="BK181">
            <v>178</v>
          </cell>
          <cell r="BL181">
            <v>178</v>
          </cell>
          <cell r="BM181">
            <v>178</v>
          </cell>
          <cell r="BN181">
            <v>178</v>
          </cell>
          <cell r="BO181">
            <v>178</v>
          </cell>
        </row>
        <row r="182">
          <cell r="A182" t="str">
            <v>TFYR Macedonia</v>
          </cell>
          <cell r="B182">
            <v>238</v>
          </cell>
          <cell r="C182">
            <v>250</v>
          </cell>
          <cell r="D182">
            <v>258</v>
          </cell>
          <cell r="E182">
            <v>263</v>
          </cell>
          <cell r="F182">
            <v>266</v>
          </cell>
          <cell r="G182">
            <v>267</v>
          </cell>
          <cell r="H182">
            <v>268</v>
          </cell>
          <cell r="I182">
            <v>267</v>
          </cell>
          <cell r="J182">
            <v>266</v>
          </cell>
          <cell r="K182">
            <v>265</v>
          </cell>
          <cell r="L182">
            <v>263</v>
          </cell>
          <cell r="M182">
            <v>75</v>
          </cell>
          <cell r="N182">
            <v>72</v>
          </cell>
          <cell r="O182">
            <v>69</v>
          </cell>
          <cell r="P182">
            <v>67</v>
          </cell>
          <cell r="Q182">
            <v>65</v>
          </cell>
          <cell r="R182">
            <v>64</v>
          </cell>
          <cell r="S182">
            <v>63</v>
          </cell>
          <cell r="T182">
            <v>61</v>
          </cell>
          <cell r="U182">
            <v>60</v>
          </cell>
          <cell r="V182">
            <v>59</v>
          </cell>
          <cell r="W182">
            <v>58</v>
          </cell>
          <cell r="X182">
            <v>5</v>
          </cell>
          <cell r="Y182">
            <v>5</v>
          </cell>
          <cell r="Z182">
            <v>5</v>
          </cell>
          <cell r="AA182">
            <v>6</v>
          </cell>
          <cell r="AB182">
            <v>6</v>
          </cell>
          <cell r="AC182">
            <v>6</v>
          </cell>
          <cell r="AD182">
            <v>6</v>
          </cell>
          <cell r="AE182">
            <v>6</v>
          </cell>
          <cell r="AF182">
            <v>6</v>
          </cell>
          <cell r="AG182">
            <v>6</v>
          </cell>
          <cell r="AH182">
            <v>6</v>
          </cell>
          <cell r="AI182">
            <v>0.43439</v>
          </cell>
          <cell r="AJ182">
            <v>0.43302000000000002</v>
          </cell>
          <cell r="AK182">
            <v>0.43775999999999998</v>
          </cell>
          <cell r="AL182">
            <v>0.43946000000000002</v>
          </cell>
          <cell r="AM182">
            <v>0.43989</v>
          </cell>
          <cell r="AN182">
            <v>0.43994</v>
          </cell>
          <cell r="AO182">
            <v>0.43990000000000001</v>
          </cell>
          <cell r="AP182">
            <v>0.41819000000000001</v>
          </cell>
          <cell r="AQ182">
            <v>0.36052000000000001</v>
          </cell>
          <cell r="AR182">
            <v>0.29043999999999998</v>
          </cell>
          <cell r="AS182">
            <v>0.24890999999999999</v>
          </cell>
          <cell r="AT182">
            <v>2</v>
          </cell>
          <cell r="AU182">
            <v>2</v>
          </cell>
          <cell r="AV182">
            <v>2</v>
          </cell>
          <cell r="AW182">
            <v>2</v>
          </cell>
          <cell r="AX182">
            <v>2</v>
          </cell>
          <cell r="AY182">
            <v>2</v>
          </cell>
          <cell r="AZ182">
            <v>2</v>
          </cell>
          <cell r="BA182">
            <v>2</v>
          </cell>
          <cell r="BB182">
            <v>2</v>
          </cell>
          <cell r="BC182">
            <v>2</v>
          </cell>
          <cell r="BD182">
            <v>2</v>
          </cell>
          <cell r="BE182">
            <v>0</v>
          </cell>
          <cell r="BF182">
            <v>0</v>
          </cell>
          <cell r="BG182">
            <v>0</v>
          </cell>
          <cell r="BH182">
            <v>0</v>
          </cell>
          <cell r="BI182">
            <v>0</v>
          </cell>
          <cell r="BJ182">
            <v>0</v>
          </cell>
          <cell r="BK182">
            <v>0</v>
          </cell>
          <cell r="BL182">
            <v>0</v>
          </cell>
          <cell r="BM182">
            <v>0</v>
          </cell>
          <cell r="BN182">
            <v>0</v>
          </cell>
          <cell r="BO182">
            <v>0</v>
          </cell>
        </row>
        <row r="183">
          <cell r="A183" t="str">
            <v>Thailand</v>
          </cell>
          <cell r="B183">
            <v>378827</v>
          </cell>
          <cell r="C183">
            <v>370796</v>
          </cell>
          <cell r="D183">
            <v>362879</v>
          </cell>
          <cell r="E183">
            <v>355264</v>
          </cell>
          <cell r="F183">
            <v>347992</v>
          </cell>
          <cell r="G183">
            <v>341083</v>
          </cell>
          <cell r="H183">
            <v>334326</v>
          </cell>
          <cell r="I183">
            <v>327498</v>
          </cell>
          <cell r="J183">
            <v>320545</v>
          </cell>
          <cell r="K183">
            <v>313524</v>
          </cell>
          <cell r="L183">
            <v>306526</v>
          </cell>
          <cell r="M183">
            <v>242286</v>
          </cell>
          <cell r="N183">
            <v>244547</v>
          </cell>
          <cell r="O183">
            <v>245981</v>
          </cell>
          <cell r="P183">
            <v>246651</v>
          </cell>
          <cell r="Q183">
            <v>246670</v>
          </cell>
          <cell r="R183">
            <v>246160</v>
          </cell>
          <cell r="S183">
            <v>243234</v>
          </cell>
          <cell r="T183">
            <v>239735</v>
          </cell>
          <cell r="U183">
            <v>235720</v>
          </cell>
          <cell r="V183">
            <v>231300</v>
          </cell>
          <cell r="W183">
            <v>226622</v>
          </cell>
          <cell r="X183">
            <v>7586</v>
          </cell>
          <cell r="Y183">
            <v>6620</v>
          </cell>
          <cell r="Z183">
            <v>5822</v>
          </cell>
          <cell r="AA183">
            <v>5057</v>
          </cell>
          <cell r="AB183">
            <v>4339</v>
          </cell>
          <cell r="AC183">
            <v>3655</v>
          </cell>
          <cell r="AD183">
            <v>3011</v>
          </cell>
          <cell r="AE183">
            <v>2467</v>
          </cell>
          <cell r="AF183">
            <v>2111</v>
          </cell>
          <cell r="AG183">
            <v>1912</v>
          </cell>
          <cell r="AH183">
            <v>1796</v>
          </cell>
          <cell r="AI183">
            <v>5794</v>
          </cell>
          <cell r="AJ183">
            <v>5220</v>
          </cell>
          <cell r="AK183">
            <v>4519</v>
          </cell>
          <cell r="AL183">
            <v>3925</v>
          </cell>
          <cell r="AM183">
            <v>3339</v>
          </cell>
          <cell r="AN183">
            <v>2792</v>
          </cell>
          <cell r="AO183">
            <v>2315</v>
          </cell>
          <cell r="AP183">
            <v>1932</v>
          </cell>
          <cell r="AQ183">
            <v>1704</v>
          </cell>
          <cell r="AR183">
            <v>1616</v>
          </cell>
          <cell r="AS183">
            <v>1606</v>
          </cell>
          <cell r="AT183">
            <v>2122</v>
          </cell>
          <cell r="AU183">
            <v>1918</v>
          </cell>
          <cell r="AV183">
            <v>1744</v>
          </cell>
          <cell r="AW183">
            <v>1576</v>
          </cell>
          <cell r="AX183">
            <v>1423</v>
          </cell>
          <cell r="AY183">
            <v>1290</v>
          </cell>
          <cell r="AZ183">
            <v>1174</v>
          </cell>
          <cell r="BA183">
            <v>1072</v>
          </cell>
          <cell r="BB183">
            <v>984</v>
          </cell>
          <cell r="BC183">
            <v>909</v>
          </cell>
          <cell r="BD183">
            <v>843</v>
          </cell>
          <cell r="BE183">
            <v>2122</v>
          </cell>
          <cell r="BF183">
            <v>1918</v>
          </cell>
          <cell r="BG183">
            <v>1744</v>
          </cell>
          <cell r="BH183">
            <v>1576</v>
          </cell>
          <cell r="BI183">
            <v>1423</v>
          </cell>
          <cell r="BJ183">
            <v>1290</v>
          </cell>
          <cell r="BK183">
            <v>1174</v>
          </cell>
          <cell r="BL183">
            <v>1072</v>
          </cell>
          <cell r="BM183">
            <v>984</v>
          </cell>
          <cell r="BN183">
            <v>909</v>
          </cell>
          <cell r="BO183">
            <v>843</v>
          </cell>
        </row>
        <row r="184">
          <cell r="A184" t="str">
            <v>Timor-Leste</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row>
        <row r="185">
          <cell r="A185" t="str">
            <v>Togo</v>
          </cell>
          <cell r="B185">
            <v>105933</v>
          </cell>
          <cell r="C185">
            <v>106030</v>
          </cell>
          <cell r="D185">
            <v>105673</v>
          </cell>
          <cell r="E185">
            <v>104912</v>
          </cell>
          <cell r="F185">
            <v>103874</v>
          </cell>
          <cell r="G185">
            <v>102578</v>
          </cell>
          <cell r="H185">
            <v>101206</v>
          </cell>
          <cell r="I185">
            <v>99773</v>
          </cell>
          <cell r="J185">
            <v>98261</v>
          </cell>
          <cell r="K185">
            <v>96683</v>
          </cell>
          <cell r="L185">
            <v>95107</v>
          </cell>
          <cell r="M185">
            <v>35745</v>
          </cell>
          <cell r="N185">
            <v>50033</v>
          </cell>
          <cell r="O185">
            <v>52592</v>
          </cell>
          <cell r="P185">
            <v>54623</v>
          </cell>
          <cell r="Q185">
            <v>56180</v>
          </cell>
          <cell r="R185">
            <v>57294</v>
          </cell>
          <cell r="S185">
            <v>58022</v>
          </cell>
          <cell r="T185">
            <v>58423</v>
          </cell>
          <cell r="U185">
            <v>58510</v>
          </cell>
          <cell r="V185">
            <v>58353</v>
          </cell>
          <cell r="W185">
            <v>57956</v>
          </cell>
          <cell r="X185">
            <v>19419</v>
          </cell>
          <cell r="Y185">
            <v>19119</v>
          </cell>
          <cell r="Z185">
            <v>18852</v>
          </cell>
          <cell r="AA185">
            <v>17851</v>
          </cell>
          <cell r="AB185">
            <v>16809</v>
          </cell>
          <cell r="AC185">
            <v>15769</v>
          </cell>
          <cell r="AD185">
            <v>14723</v>
          </cell>
          <cell r="AE185">
            <v>13641</v>
          </cell>
          <cell r="AF185">
            <v>12563</v>
          </cell>
          <cell r="AG185">
            <v>11506</v>
          </cell>
          <cell r="AH185">
            <v>10427</v>
          </cell>
          <cell r="AI185">
            <v>7364</v>
          </cell>
          <cell r="AJ185">
            <v>3743</v>
          </cell>
          <cell r="AK185">
            <v>4175</v>
          </cell>
          <cell r="AL185">
            <v>4450</v>
          </cell>
          <cell r="AM185">
            <v>4451</v>
          </cell>
          <cell r="AN185">
            <v>4195</v>
          </cell>
          <cell r="AO185">
            <v>4103</v>
          </cell>
          <cell r="AP185">
            <v>3853</v>
          </cell>
          <cell r="AQ185">
            <v>3568</v>
          </cell>
          <cell r="AR185">
            <v>3241</v>
          </cell>
          <cell r="AS185">
            <v>2926</v>
          </cell>
          <cell r="AT185">
            <v>7589</v>
          </cell>
          <cell r="AU185">
            <v>7198</v>
          </cell>
          <cell r="AV185">
            <v>6781</v>
          </cell>
          <cell r="AW185">
            <v>6336</v>
          </cell>
          <cell r="AX185">
            <v>5891</v>
          </cell>
          <cell r="AY185">
            <v>5458</v>
          </cell>
          <cell r="AZ185">
            <v>5050</v>
          </cell>
          <cell r="BA185">
            <v>4671</v>
          </cell>
          <cell r="BB185">
            <v>4325</v>
          </cell>
          <cell r="BC185">
            <v>4010</v>
          </cell>
          <cell r="BD185">
            <v>3729</v>
          </cell>
          <cell r="BE185">
            <v>6781</v>
          </cell>
          <cell r="BF185">
            <v>4667</v>
          </cell>
          <cell r="BG185">
            <v>4336</v>
          </cell>
          <cell r="BH185">
            <v>4004</v>
          </cell>
          <cell r="BI185">
            <v>3682</v>
          </cell>
          <cell r="BJ185">
            <v>3371</v>
          </cell>
          <cell r="BK185">
            <v>3371</v>
          </cell>
          <cell r="BL185">
            <v>3371</v>
          </cell>
          <cell r="BM185">
            <v>3371</v>
          </cell>
          <cell r="BN185">
            <v>3371</v>
          </cell>
          <cell r="BO185">
            <v>3371</v>
          </cell>
        </row>
        <row r="186">
          <cell r="A186" t="str">
            <v>Tonga</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row>
        <row r="187">
          <cell r="A187" t="str">
            <v>Trinidad and Tobago</v>
          </cell>
          <cell r="B187">
            <v>15115</v>
          </cell>
          <cell r="C187">
            <v>15303</v>
          </cell>
          <cell r="D187">
            <v>15449</v>
          </cell>
          <cell r="E187">
            <v>15554</v>
          </cell>
          <cell r="F187">
            <v>15618</v>
          </cell>
          <cell r="G187">
            <v>15648</v>
          </cell>
          <cell r="H187">
            <v>15656</v>
          </cell>
          <cell r="I187">
            <v>15646</v>
          </cell>
          <cell r="J187">
            <v>15625</v>
          </cell>
          <cell r="K187">
            <v>15592</v>
          </cell>
          <cell r="L187">
            <v>15535</v>
          </cell>
          <cell r="M187">
            <v>7847</v>
          </cell>
          <cell r="N187">
            <v>8248</v>
          </cell>
          <cell r="O187">
            <v>8598</v>
          </cell>
          <cell r="P187">
            <v>8896</v>
          </cell>
          <cell r="Q187">
            <v>9145</v>
          </cell>
          <cell r="R187">
            <v>9345</v>
          </cell>
          <cell r="S187">
            <v>9499</v>
          </cell>
          <cell r="T187">
            <v>9617</v>
          </cell>
          <cell r="U187">
            <v>9703</v>
          </cell>
          <cell r="V187">
            <v>9764</v>
          </cell>
          <cell r="W187">
            <v>9790</v>
          </cell>
          <cell r="X187">
            <v>286</v>
          </cell>
          <cell r="Y187">
            <v>286</v>
          </cell>
          <cell r="Z187">
            <v>277</v>
          </cell>
          <cell r="AA187">
            <v>267</v>
          </cell>
          <cell r="AB187">
            <v>254</v>
          </cell>
          <cell r="AC187">
            <v>237</v>
          </cell>
          <cell r="AD187">
            <v>217</v>
          </cell>
          <cell r="AE187">
            <v>193</v>
          </cell>
          <cell r="AF187">
            <v>165</v>
          </cell>
          <cell r="AG187">
            <v>131</v>
          </cell>
          <cell r="AH187">
            <v>111</v>
          </cell>
          <cell r="AI187">
            <v>188</v>
          </cell>
          <cell r="AJ187">
            <v>185</v>
          </cell>
          <cell r="AK187">
            <v>187</v>
          </cell>
          <cell r="AL187">
            <v>187</v>
          </cell>
          <cell r="AM187">
            <v>185</v>
          </cell>
          <cell r="AN187">
            <v>171</v>
          </cell>
          <cell r="AO187">
            <v>160</v>
          </cell>
          <cell r="AP187">
            <v>145</v>
          </cell>
          <cell r="AQ187">
            <v>129</v>
          </cell>
          <cell r="AR187">
            <v>111</v>
          </cell>
          <cell r="AS187">
            <v>98</v>
          </cell>
          <cell r="AT187">
            <v>179</v>
          </cell>
          <cell r="AU187">
            <v>172</v>
          </cell>
          <cell r="AV187">
            <v>163</v>
          </cell>
          <cell r="AW187">
            <v>154</v>
          </cell>
          <cell r="AX187">
            <v>144</v>
          </cell>
          <cell r="AY187">
            <v>135</v>
          </cell>
          <cell r="AZ187">
            <v>126</v>
          </cell>
          <cell r="BA187">
            <v>118</v>
          </cell>
          <cell r="BB187">
            <v>111</v>
          </cell>
          <cell r="BC187">
            <v>105</v>
          </cell>
          <cell r="BD187">
            <v>99</v>
          </cell>
          <cell r="BE187">
            <v>171</v>
          </cell>
          <cell r="BF187">
            <v>163</v>
          </cell>
          <cell r="BG187">
            <v>155</v>
          </cell>
          <cell r="BH187">
            <v>147</v>
          </cell>
          <cell r="BI187">
            <v>139</v>
          </cell>
          <cell r="BJ187">
            <v>131</v>
          </cell>
          <cell r="BK187">
            <v>126</v>
          </cell>
          <cell r="BL187">
            <v>118</v>
          </cell>
          <cell r="BM187">
            <v>111</v>
          </cell>
          <cell r="BN187">
            <v>105</v>
          </cell>
          <cell r="BO187">
            <v>99</v>
          </cell>
        </row>
        <row r="188">
          <cell r="A188" t="str">
            <v>Tunisia</v>
          </cell>
          <cell r="B188">
            <v>4660</v>
          </cell>
          <cell r="C188">
            <v>5041</v>
          </cell>
          <cell r="D188">
            <v>5417</v>
          </cell>
          <cell r="E188">
            <v>5782</v>
          </cell>
          <cell r="F188">
            <v>6133</v>
          </cell>
          <cell r="G188">
            <v>6466</v>
          </cell>
          <cell r="H188">
            <v>6797</v>
          </cell>
          <cell r="I188">
            <v>7114</v>
          </cell>
          <cell r="J188">
            <v>7417</v>
          </cell>
          <cell r="K188">
            <v>7707</v>
          </cell>
          <cell r="L188">
            <v>7982</v>
          </cell>
          <cell r="M188">
            <v>940</v>
          </cell>
          <cell r="N188">
            <v>1171</v>
          </cell>
          <cell r="O188">
            <v>1440</v>
          </cell>
          <cell r="P188">
            <v>1749</v>
          </cell>
          <cell r="Q188">
            <v>2100</v>
          </cell>
          <cell r="R188">
            <v>2495</v>
          </cell>
          <cell r="S188">
            <v>2749</v>
          </cell>
          <cell r="T188">
            <v>2996</v>
          </cell>
          <cell r="U188">
            <v>3232</v>
          </cell>
          <cell r="V188">
            <v>3459</v>
          </cell>
          <cell r="W188">
            <v>3674</v>
          </cell>
          <cell r="X188">
            <v>74</v>
          </cell>
          <cell r="Y188">
            <v>80</v>
          </cell>
          <cell r="Z188">
            <v>85</v>
          </cell>
          <cell r="AA188">
            <v>88</v>
          </cell>
          <cell r="AB188">
            <v>90</v>
          </cell>
          <cell r="AC188">
            <v>91</v>
          </cell>
          <cell r="AD188">
            <v>94</v>
          </cell>
          <cell r="AE188">
            <v>97</v>
          </cell>
          <cell r="AF188">
            <v>99</v>
          </cell>
          <cell r="AG188">
            <v>100</v>
          </cell>
          <cell r="AH188">
            <v>101</v>
          </cell>
          <cell r="AI188">
            <v>29</v>
          </cell>
          <cell r="AJ188">
            <v>35</v>
          </cell>
          <cell r="AK188">
            <v>39</v>
          </cell>
          <cell r="AL188">
            <v>43</v>
          </cell>
          <cell r="AM188">
            <v>48</v>
          </cell>
          <cell r="AN188">
            <v>53</v>
          </cell>
          <cell r="AO188">
            <v>56</v>
          </cell>
          <cell r="AP188">
            <v>59</v>
          </cell>
          <cell r="AQ188">
            <v>62</v>
          </cell>
          <cell r="AR188">
            <v>65</v>
          </cell>
          <cell r="AS188">
            <v>68</v>
          </cell>
          <cell r="AT188">
            <v>59</v>
          </cell>
          <cell r="AU188">
            <v>62</v>
          </cell>
          <cell r="AV188">
            <v>66</v>
          </cell>
          <cell r="AW188">
            <v>69</v>
          </cell>
          <cell r="AX188">
            <v>73</v>
          </cell>
          <cell r="AY188">
            <v>75</v>
          </cell>
          <cell r="AZ188">
            <v>77</v>
          </cell>
          <cell r="BA188">
            <v>78</v>
          </cell>
          <cell r="BB188">
            <v>79</v>
          </cell>
          <cell r="BC188">
            <v>79</v>
          </cell>
          <cell r="BD188">
            <v>79</v>
          </cell>
          <cell r="BE188">
            <v>22</v>
          </cell>
          <cell r="BF188">
            <v>28</v>
          </cell>
          <cell r="BG188">
            <v>34</v>
          </cell>
          <cell r="BH188">
            <v>41</v>
          </cell>
          <cell r="BI188">
            <v>48</v>
          </cell>
          <cell r="BJ188">
            <v>55</v>
          </cell>
          <cell r="BK188">
            <v>55</v>
          </cell>
          <cell r="BL188">
            <v>55</v>
          </cell>
          <cell r="BM188">
            <v>55</v>
          </cell>
          <cell r="BN188">
            <v>55</v>
          </cell>
          <cell r="BO188">
            <v>55</v>
          </cell>
        </row>
        <row r="189">
          <cell r="A189" t="str">
            <v>Turkey</v>
          </cell>
          <cell r="B189">
            <v>10712</v>
          </cell>
          <cell r="C189">
            <v>11891</v>
          </cell>
          <cell r="D189">
            <v>13059</v>
          </cell>
          <cell r="E189">
            <v>14219</v>
          </cell>
          <cell r="F189">
            <v>15370</v>
          </cell>
          <cell r="G189">
            <v>16513</v>
          </cell>
          <cell r="H189">
            <v>17650</v>
          </cell>
          <cell r="I189">
            <v>18779</v>
          </cell>
          <cell r="J189">
            <v>19897</v>
          </cell>
          <cell r="K189">
            <v>21005</v>
          </cell>
          <cell r="L189">
            <v>22100</v>
          </cell>
          <cell r="M189">
            <v>4330</v>
          </cell>
          <cell r="N189">
            <v>4981</v>
          </cell>
          <cell r="O189">
            <v>5683</v>
          </cell>
          <cell r="P189">
            <v>6427</v>
          </cell>
          <cell r="Q189">
            <v>7210</v>
          </cell>
          <cell r="R189">
            <v>8024</v>
          </cell>
          <cell r="S189">
            <v>8865</v>
          </cell>
          <cell r="T189">
            <v>9726</v>
          </cell>
          <cell r="U189">
            <v>10605</v>
          </cell>
          <cell r="V189">
            <v>11495</v>
          </cell>
          <cell r="W189">
            <v>12393</v>
          </cell>
          <cell r="X189">
            <v>151</v>
          </cell>
          <cell r="Y189">
            <v>167</v>
          </cell>
          <cell r="Z189">
            <v>183</v>
          </cell>
          <cell r="AA189">
            <v>199</v>
          </cell>
          <cell r="AB189">
            <v>216</v>
          </cell>
          <cell r="AC189">
            <v>232</v>
          </cell>
          <cell r="AD189">
            <v>248</v>
          </cell>
          <cell r="AE189">
            <v>263</v>
          </cell>
          <cell r="AF189">
            <v>277</v>
          </cell>
          <cell r="AG189">
            <v>292</v>
          </cell>
          <cell r="AH189">
            <v>306</v>
          </cell>
          <cell r="AI189">
            <v>8</v>
          </cell>
          <cell r="AJ189">
            <v>8</v>
          </cell>
          <cell r="AK189">
            <v>8</v>
          </cell>
          <cell r="AL189">
            <v>8</v>
          </cell>
          <cell r="AM189">
            <v>8</v>
          </cell>
          <cell r="AN189">
            <v>7</v>
          </cell>
          <cell r="AO189">
            <v>5</v>
          </cell>
          <cell r="AP189">
            <v>4</v>
          </cell>
          <cell r="AQ189">
            <v>2</v>
          </cell>
          <cell r="AR189">
            <v>1</v>
          </cell>
          <cell r="AS189">
            <v>0.85724</v>
          </cell>
          <cell r="AT189">
            <v>128</v>
          </cell>
          <cell r="AU189">
            <v>139</v>
          </cell>
          <cell r="AV189">
            <v>150</v>
          </cell>
          <cell r="AW189">
            <v>160</v>
          </cell>
          <cell r="AX189">
            <v>169</v>
          </cell>
          <cell r="AY189">
            <v>178</v>
          </cell>
          <cell r="AZ189">
            <v>185</v>
          </cell>
          <cell r="BA189">
            <v>192</v>
          </cell>
          <cell r="BB189">
            <v>199</v>
          </cell>
          <cell r="BC189">
            <v>205</v>
          </cell>
          <cell r="BD189">
            <v>210</v>
          </cell>
          <cell r="BE189">
            <v>0</v>
          </cell>
          <cell r="BF189">
            <v>0</v>
          </cell>
          <cell r="BG189">
            <v>0</v>
          </cell>
          <cell r="BH189">
            <v>0</v>
          </cell>
          <cell r="BI189">
            <v>0</v>
          </cell>
          <cell r="BJ189">
            <v>0</v>
          </cell>
          <cell r="BK189">
            <v>0</v>
          </cell>
          <cell r="BL189">
            <v>0</v>
          </cell>
          <cell r="BM189">
            <v>0</v>
          </cell>
          <cell r="BN189">
            <v>0</v>
          </cell>
          <cell r="BO189">
            <v>0</v>
          </cell>
        </row>
        <row r="190">
          <cell r="A190" t="str">
            <v>Turkmenistan</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row>
        <row r="191">
          <cell r="A191" t="str">
            <v>Uganda</v>
          </cell>
          <cell r="B191">
            <v>1671940</v>
          </cell>
          <cell r="C191">
            <v>1725636</v>
          </cell>
          <cell r="D191">
            <v>1774366</v>
          </cell>
          <cell r="E191">
            <v>1827361</v>
          </cell>
          <cell r="F191">
            <v>1878327</v>
          </cell>
          <cell r="G191">
            <v>1927064</v>
          </cell>
          <cell r="H191">
            <v>1981718</v>
          </cell>
          <cell r="I191">
            <v>2038833</v>
          </cell>
          <cell r="J191">
            <v>2098266</v>
          </cell>
          <cell r="K191">
            <v>2159774</v>
          </cell>
          <cell r="L191">
            <v>2223215</v>
          </cell>
          <cell r="M191">
            <v>420641</v>
          </cell>
          <cell r="N191">
            <v>505367</v>
          </cell>
          <cell r="O191">
            <v>600349</v>
          </cell>
          <cell r="P191">
            <v>709991</v>
          </cell>
          <cell r="Q191">
            <v>818806</v>
          </cell>
          <cell r="R191">
            <v>940005</v>
          </cell>
          <cell r="S191">
            <v>1003238</v>
          </cell>
          <cell r="T191">
            <v>1063420</v>
          </cell>
          <cell r="U191">
            <v>1121022</v>
          </cell>
          <cell r="V191">
            <v>1176647</v>
          </cell>
          <cell r="W191">
            <v>1229954</v>
          </cell>
          <cell r="X191">
            <v>196691</v>
          </cell>
          <cell r="Y191">
            <v>188624</v>
          </cell>
          <cell r="Z191">
            <v>180976</v>
          </cell>
          <cell r="AA191">
            <v>174712</v>
          </cell>
          <cell r="AB191">
            <v>169151</v>
          </cell>
          <cell r="AC191">
            <v>164204</v>
          </cell>
          <cell r="AD191">
            <v>159062</v>
          </cell>
          <cell r="AE191">
            <v>152175</v>
          </cell>
          <cell r="AF191">
            <v>142947</v>
          </cell>
          <cell r="AG191">
            <v>132346</v>
          </cell>
          <cell r="AH191">
            <v>120712</v>
          </cell>
          <cell r="AI191">
            <v>39380</v>
          </cell>
          <cell r="AJ191">
            <v>42232</v>
          </cell>
          <cell r="AK191">
            <v>45271</v>
          </cell>
          <cell r="AL191">
            <v>50079</v>
          </cell>
          <cell r="AM191">
            <v>56465</v>
          </cell>
          <cell r="AN191">
            <v>62744</v>
          </cell>
          <cell r="AO191">
            <v>64779</v>
          </cell>
          <cell r="AP191">
            <v>66691</v>
          </cell>
          <cell r="AQ191">
            <v>66908</v>
          </cell>
          <cell r="AR191">
            <v>64964</v>
          </cell>
          <cell r="AS191">
            <v>62662</v>
          </cell>
          <cell r="AT191">
            <v>143494</v>
          </cell>
          <cell r="AU191">
            <v>144877</v>
          </cell>
          <cell r="AV191">
            <v>145071</v>
          </cell>
          <cell r="AW191">
            <v>145139</v>
          </cell>
          <cell r="AX191">
            <v>144433</v>
          </cell>
          <cell r="AY191">
            <v>142690</v>
          </cell>
          <cell r="AZ191">
            <v>140335</v>
          </cell>
          <cell r="BA191">
            <v>137841</v>
          </cell>
          <cell r="BB191">
            <v>135469</v>
          </cell>
          <cell r="BC191">
            <v>133260</v>
          </cell>
          <cell r="BD191">
            <v>131255</v>
          </cell>
          <cell r="BE191">
            <v>118967</v>
          </cell>
          <cell r="BF191">
            <v>122674</v>
          </cell>
          <cell r="BG191">
            <v>125024</v>
          </cell>
          <cell r="BH191">
            <v>126203</v>
          </cell>
          <cell r="BI191">
            <v>126218</v>
          </cell>
          <cell r="BJ191">
            <v>124933</v>
          </cell>
          <cell r="BK191">
            <v>124933</v>
          </cell>
          <cell r="BL191">
            <v>124933</v>
          </cell>
          <cell r="BM191">
            <v>124933</v>
          </cell>
          <cell r="BN191">
            <v>124933</v>
          </cell>
          <cell r="BO191">
            <v>124933</v>
          </cell>
        </row>
        <row r="192">
          <cell r="A192" t="str">
            <v>Ukraine</v>
          </cell>
          <cell r="B192">
            <v>261960</v>
          </cell>
          <cell r="C192">
            <v>264040</v>
          </cell>
          <cell r="D192">
            <v>266980</v>
          </cell>
          <cell r="E192">
            <v>270408</v>
          </cell>
          <cell r="F192">
            <v>272636</v>
          </cell>
          <cell r="G192">
            <v>273308</v>
          </cell>
          <cell r="H192">
            <v>273262</v>
          </cell>
          <cell r="I192">
            <v>272699</v>
          </cell>
          <cell r="J192">
            <v>271612</v>
          </cell>
          <cell r="K192">
            <v>270240</v>
          </cell>
          <cell r="L192">
            <v>268661</v>
          </cell>
          <cell r="M192">
            <v>94997</v>
          </cell>
          <cell r="N192">
            <v>115022</v>
          </cell>
          <cell r="O192">
            <v>134922</v>
          </cell>
          <cell r="P192">
            <v>154303</v>
          </cell>
          <cell r="Q192">
            <v>154525</v>
          </cell>
          <cell r="R192">
            <v>154155</v>
          </cell>
          <cell r="S192">
            <v>158314</v>
          </cell>
          <cell r="T192">
            <v>161480</v>
          </cell>
          <cell r="U192">
            <v>163715</v>
          </cell>
          <cell r="V192">
            <v>165287</v>
          </cell>
          <cell r="W192">
            <v>166326</v>
          </cell>
          <cell r="X192">
            <v>4282</v>
          </cell>
          <cell r="Y192">
            <v>4260</v>
          </cell>
          <cell r="Z192">
            <v>4205</v>
          </cell>
          <cell r="AA192">
            <v>4087</v>
          </cell>
          <cell r="AB192">
            <v>3914</v>
          </cell>
          <cell r="AC192">
            <v>3703</v>
          </cell>
          <cell r="AD192">
            <v>3466</v>
          </cell>
          <cell r="AE192">
            <v>3291</v>
          </cell>
          <cell r="AF192">
            <v>3242</v>
          </cell>
          <cell r="AG192">
            <v>3142</v>
          </cell>
          <cell r="AH192">
            <v>2954</v>
          </cell>
          <cell r="AI192">
            <v>3240</v>
          </cell>
          <cell r="AJ192">
            <v>3377</v>
          </cell>
          <cell r="AK192">
            <v>3501</v>
          </cell>
          <cell r="AL192">
            <v>3554</v>
          </cell>
          <cell r="AM192">
            <v>3544</v>
          </cell>
          <cell r="AN192">
            <v>3461</v>
          </cell>
          <cell r="AO192">
            <v>3295</v>
          </cell>
          <cell r="AP192">
            <v>3152</v>
          </cell>
          <cell r="AQ192">
            <v>3118</v>
          </cell>
          <cell r="AR192">
            <v>3034</v>
          </cell>
          <cell r="AS192">
            <v>2855</v>
          </cell>
          <cell r="AT192">
            <v>2782</v>
          </cell>
          <cell r="AU192">
            <v>2783</v>
          </cell>
          <cell r="AV192">
            <v>2780</v>
          </cell>
          <cell r="AW192">
            <v>2765</v>
          </cell>
          <cell r="AX192">
            <v>2696</v>
          </cell>
          <cell r="AY192">
            <v>2571</v>
          </cell>
          <cell r="AZ192">
            <v>2449</v>
          </cell>
          <cell r="BA192">
            <v>2334</v>
          </cell>
          <cell r="BB192">
            <v>2219</v>
          </cell>
          <cell r="BC192">
            <v>2116</v>
          </cell>
          <cell r="BD192">
            <v>2021</v>
          </cell>
          <cell r="BE192">
            <v>2782</v>
          </cell>
          <cell r="BF192">
            <v>2783</v>
          </cell>
          <cell r="BG192">
            <v>2780</v>
          </cell>
          <cell r="BH192">
            <v>2765</v>
          </cell>
          <cell r="BI192">
            <v>2696</v>
          </cell>
          <cell r="BJ192">
            <v>2571</v>
          </cell>
          <cell r="BK192">
            <v>2449</v>
          </cell>
          <cell r="BL192">
            <v>2334</v>
          </cell>
          <cell r="BM192">
            <v>2219</v>
          </cell>
          <cell r="BN192">
            <v>2116</v>
          </cell>
          <cell r="BO192">
            <v>2021</v>
          </cell>
        </row>
        <row r="193">
          <cell r="A193" t="str">
            <v>United Arab Emirates</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row>
        <row r="194">
          <cell r="A194" t="str">
            <v>United Kingdom</v>
          </cell>
          <cell r="B194">
            <v>136571</v>
          </cell>
          <cell r="C194">
            <v>143045</v>
          </cell>
          <cell r="D194">
            <v>149439</v>
          </cell>
          <cell r="E194">
            <v>155743</v>
          </cell>
          <cell r="F194">
            <v>161952</v>
          </cell>
          <cell r="G194">
            <v>168061</v>
          </cell>
          <cell r="H194">
            <v>174060</v>
          </cell>
          <cell r="I194">
            <v>179989</v>
          </cell>
          <cell r="J194">
            <v>185850</v>
          </cell>
          <cell r="K194">
            <v>191643</v>
          </cell>
          <cell r="L194">
            <v>197365</v>
          </cell>
          <cell r="M194">
            <v>86529</v>
          </cell>
          <cell r="N194">
            <v>92675</v>
          </cell>
          <cell r="O194">
            <v>98811</v>
          </cell>
          <cell r="P194">
            <v>104925</v>
          </cell>
          <cell r="Q194">
            <v>111001</v>
          </cell>
          <cell r="R194">
            <v>117024</v>
          </cell>
          <cell r="S194">
            <v>122978</v>
          </cell>
          <cell r="T194">
            <v>128870</v>
          </cell>
          <cell r="U194">
            <v>134696</v>
          </cell>
          <cell r="V194">
            <v>140454</v>
          </cell>
          <cell r="W194">
            <v>146148</v>
          </cell>
          <cell r="X194">
            <v>437</v>
          </cell>
          <cell r="Y194">
            <v>536</v>
          </cell>
          <cell r="Z194">
            <v>634</v>
          </cell>
          <cell r="AA194">
            <v>732</v>
          </cell>
          <cell r="AB194">
            <v>828</v>
          </cell>
          <cell r="AC194">
            <v>928</v>
          </cell>
          <cell r="AD194">
            <v>1038</v>
          </cell>
          <cell r="AE194">
            <v>1156</v>
          </cell>
          <cell r="AF194">
            <v>1280</v>
          </cell>
          <cell r="AG194">
            <v>1403</v>
          </cell>
          <cell r="AH194">
            <v>1523</v>
          </cell>
          <cell r="AI194">
            <v>201</v>
          </cell>
          <cell r="AJ194">
            <v>273</v>
          </cell>
          <cell r="AK194">
            <v>359</v>
          </cell>
          <cell r="AL194">
            <v>438</v>
          </cell>
          <cell r="AM194">
            <v>529</v>
          </cell>
          <cell r="AN194">
            <v>629</v>
          </cell>
          <cell r="AO194">
            <v>726</v>
          </cell>
          <cell r="AP194">
            <v>835</v>
          </cell>
          <cell r="AQ194">
            <v>954</v>
          </cell>
          <cell r="AR194">
            <v>1079</v>
          </cell>
          <cell r="AS194">
            <v>1199</v>
          </cell>
          <cell r="AT194">
            <v>1204</v>
          </cell>
          <cell r="AU194">
            <v>1240</v>
          </cell>
          <cell r="AV194">
            <v>1274</v>
          </cell>
          <cell r="AW194">
            <v>1304</v>
          </cell>
          <cell r="AX194">
            <v>1329</v>
          </cell>
          <cell r="AY194">
            <v>1350</v>
          </cell>
          <cell r="AZ194">
            <v>1366</v>
          </cell>
          <cell r="BA194">
            <v>1378</v>
          </cell>
          <cell r="BB194">
            <v>1387</v>
          </cell>
          <cell r="BC194">
            <v>1393</v>
          </cell>
          <cell r="BD194">
            <v>1397</v>
          </cell>
          <cell r="BE194">
            <v>1200</v>
          </cell>
          <cell r="BF194">
            <v>1233</v>
          </cell>
          <cell r="BG194">
            <v>1265</v>
          </cell>
          <cell r="BH194">
            <v>1292</v>
          </cell>
          <cell r="BI194">
            <v>1314</v>
          </cell>
          <cell r="BJ194">
            <v>1331</v>
          </cell>
          <cell r="BK194">
            <v>1331</v>
          </cell>
          <cell r="BL194">
            <v>1331</v>
          </cell>
          <cell r="BM194">
            <v>1331</v>
          </cell>
          <cell r="BN194">
            <v>1331</v>
          </cell>
          <cell r="BO194">
            <v>1331</v>
          </cell>
        </row>
        <row r="195">
          <cell r="A195" t="str">
            <v>United Republic of Tanzania</v>
          </cell>
          <cell r="B195">
            <v>1416512</v>
          </cell>
          <cell r="C195">
            <v>1439053</v>
          </cell>
          <cell r="D195">
            <v>1460390</v>
          </cell>
          <cell r="E195">
            <v>1478883</v>
          </cell>
          <cell r="F195">
            <v>1494227</v>
          </cell>
          <cell r="G195">
            <v>1506722</v>
          </cell>
          <cell r="H195">
            <v>1519680</v>
          </cell>
          <cell r="I195">
            <v>1532955</v>
          </cell>
          <cell r="J195">
            <v>1546934</v>
          </cell>
          <cell r="K195">
            <v>1561794</v>
          </cell>
          <cell r="L195">
            <v>1577063</v>
          </cell>
          <cell r="M195">
            <v>681407</v>
          </cell>
          <cell r="N195">
            <v>776818</v>
          </cell>
          <cell r="O195">
            <v>877629</v>
          </cell>
          <cell r="P195">
            <v>932274</v>
          </cell>
          <cell r="Q195">
            <v>981877</v>
          </cell>
          <cell r="R195">
            <v>1026320</v>
          </cell>
          <cell r="S195">
            <v>1066073</v>
          </cell>
          <cell r="T195">
            <v>1101567</v>
          </cell>
          <cell r="U195">
            <v>1133728</v>
          </cell>
          <cell r="V195">
            <v>1163594</v>
          </cell>
          <cell r="W195">
            <v>1191052</v>
          </cell>
          <cell r="X195">
            <v>230066</v>
          </cell>
          <cell r="Y195">
            <v>215181</v>
          </cell>
          <cell r="Z195">
            <v>201446</v>
          </cell>
          <cell r="AA195">
            <v>188363</v>
          </cell>
          <cell r="AB195">
            <v>174790</v>
          </cell>
          <cell r="AC195">
            <v>160967</v>
          </cell>
          <cell r="AD195">
            <v>145898</v>
          </cell>
          <cell r="AE195">
            <v>130410</v>
          </cell>
          <cell r="AF195">
            <v>115609</v>
          </cell>
          <cell r="AG195">
            <v>101214</v>
          </cell>
          <cell r="AH195">
            <v>87513</v>
          </cell>
          <cell r="AI195">
            <v>53197</v>
          </cell>
          <cell r="AJ195">
            <v>59515</v>
          </cell>
          <cell r="AK195">
            <v>63512</v>
          </cell>
          <cell r="AL195">
            <v>63788</v>
          </cell>
          <cell r="AM195">
            <v>64965</v>
          </cell>
          <cell r="AN195">
            <v>63170</v>
          </cell>
          <cell r="AO195">
            <v>61900</v>
          </cell>
          <cell r="AP195">
            <v>59031</v>
          </cell>
          <cell r="AQ195">
            <v>55460</v>
          </cell>
          <cell r="AR195">
            <v>50850</v>
          </cell>
          <cell r="AS195">
            <v>45578</v>
          </cell>
          <cell r="AT195">
            <v>108505</v>
          </cell>
          <cell r="AU195">
            <v>104903</v>
          </cell>
          <cell r="AV195">
            <v>101032</v>
          </cell>
          <cell r="AW195">
            <v>96893</v>
          </cell>
          <cell r="AX195">
            <v>92504</v>
          </cell>
          <cell r="AY195">
            <v>87980</v>
          </cell>
          <cell r="AZ195">
            <v>83560</v>
          </cell>
          <cell r="BA195">
            <v>79405</v>
          </cell>
          <cell r="BB195">
            <v>75548</v>
          </cell>
          <cell r="BC195">
            <v>72028</v>
          </cell>
          <cell r="BD195">
            <v>68852</v>
          </cell>
          <cell r="BE195">
            <v>92892</v>
          </cell>
          <cell r="BF195">
            <v>90940</v>
          </cell>
          <cell r="BG195">
            <v>88804</v>
          </cell>
          <cell r="BH195">
            <v>85602</v>
          </cell>
          <cell r="BI195">
            <v>82252</v>
          </cell>
          <cell r="BJ195">
            <v>78793</v>
          </cell>
          <cell r="BK195">
            <v>78793</v>
          </cell>
          <cell r="BL195">
            <v>78793</v>
          </cell>
          <cell r="BM195">
            <v>75548</v>
          </cell>
          <cell r="BN195">
            <v>72028</v>
          </cell>
          <cell r="BO195">
            <v>68852</v>
          </cell>
        </row>
        <row r="196">
          <cell r="A196" t="str">
            <v>United States of America</v>
          </cell>
          <cell r="B196">
            <v>1344264</v>
          </cell>
          <cell r="C196">
            <v>1379097</v>
          </cell>
          <cell r="D196">
            <v>1413176</v>
          </cell>
          <cell r="E196">
            <v>1445746</v>
          </cell>
          <cell r="F196">
            <v>1477818</v>
          </cell>
          <cell r="G196">
            <v>1509362</v>
          </cell>
          <cell r="H196">
            <v>1540402</v>
          </cell>
          <cell r="I196">
            <v>1570915</v>
          </cell>
          <cell r="J196">
            <v>1600861</v>
          </cell>
          <cell r="K196">
            <v>1630390</v>
          </cell>
          <cell r="L196">
            <v>1659442</v>
          </cell>
          <cell r="M196">
            <v>920418</v>
          </cell>
          <cell r="N196">
            <v>954538</v>
          </cell>
          <cell r="O196">
            <v>987548</v>
          </cell>
          <cell r="P196">
            <v>1018817</v>
          </cell>
          <cell r="Q196">
            <v>1049348</v>
          </cell>
          <cell r="R196">
            <v>1079162</v>
          </cell>
          <cell r="S196">
            <v>1108255</v>
          </cell>
          <cell r="T196">
            <v>1136637</v>
          </cell>
          <cell r="U196">
            <v>1164327</v>
          </cell>
          <cell r="V196">
            <v>1191364</v>
          </cell>
          <cell r="W196">
            <v>1218071</v>
          </cell>
          <cell r="X196">
            <v>18270</v>
          </cell>
          <cell r="Y196">
            <v>21339</v>
          </cell>
          <cell r="Z196">
            <v>24127</v>
          </cell>
          <cell r="AA196">
            <v>26852</v>
          </cell>
          <cell r="AB196">
            <v>29448</v>
          </cell>
          <cell r="AC196">
            <v>32004</v>
          </cell>
          <cell r="AD196">
            <v>34531</v>
          </cell>
          <cell r="AE196">
            <v>36987</v>
          </cell>
          <cell r="AF196">
            <v>39420</v>
          </cell>
          <cell r="AG196">
            <v>41727</v>
          </cell>
          <cell r="AH196">
            <v>43913</v>
          </cell>
          <cell r="AI196">
            <v>7345</v>
          </cell>
          <cell r="AJ196">
            <v>9641</v>
          </cell>
          <cell r="AK196">
            <v>12375</v>
          </cell>
          <cell r="AL196">
            <v>15056</v>
          </cell>
          <cell r="AM196">
            <v>17689</v>
          </cell>
          <cell r="AN196">
            <v>20435</v>
          </cell>
          <cell r="AO196">
            <v>23081</v>
          </cell>
          <cell r="AP196">
            <v>25749</v>
          </cell>
          <cell r="AQ196">
            <v>28403</v>
          </cell>
          <cell r="AR196">
            <v>31049</v>
          </cell>
          <cell r="AS196">
            <v>33331</v>
          </cell>
          <cell r="AT196">
            <v>7201</v>
          </cell>
          <cell r="AU196">
            <v>7251</v>
          </cell>
          <cell r="AV196">
            <v>7286</v>
          </cell>
          <cell r="AW196">
            <v>7435</v>
          </cell>
          <cell r="AX196">
            <v>7577</v>
          </cell>
          <cell r="AY196">
            <v>7716</v>
          </cell>
          <cell r="AZ196">
            <v>7713</v>
          </cell>
          <cell r="BA196">
            <v>7698</v>
          </cell>
          <cell r="BB196">
            <v>7853</v>
          </cell>
          <cell r="BC196">
            <v>8083</v>
          </cell>
          <cell r="BD196">
            <v>8228</v>
          </cell>
          <cell r="BE196">
            <v>6396</v>
          </cell>
          <cell r="BF196">
            <v>6458</v>
          </cell>
          <cell r="BG196">
            <v>6525</v>
          </cell>
          <cell r="BH196">
            <v>6590</v>
          </cell>
          <cell r="BI196">
            <v>6652</v>
          </cell>
          <cell r="BJ196">
            <v>6713</v>
          </cell>
          <cell r="BK196">
            <v>6713</v>
          </cell>
          <cell r="BL196">
            <v>6713</v>
          </cell>
          <cell r="BM196">
            <v>6713</v>
          </cell>
          <cell r="BN196">
            <v>6713</v>
          </cell>
          <cell r="BO196">
            <v>6713</v>
          </cell>
        </row>
        <row r="197">
          <cell r="A197" t="str">
            <v>United States Virgin Islands</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row>
        <row r="198">
          <cell r="A198" t="str">
            <v>Uruguay</v>
          </cell>
          <cell r="B198">
            <v>16321</v>
          </cell>
          <cell r="C198">
            <v>16515</v>
          </cell>
          <cell r="D198">
            <v>16691</v>
          </cell>
          <cell r="E198">
            <v>16853</v>
          </cell>
          <cell r="F198">
            <v>17015</v>
          </cell>
          <cell r="G198">
            <v>17181</v>
          </cell>
          <cell r="H198">
            <v>17341</v>
          </cell>
          <cell r="I198">
            <v>17487</v>
          </cell>
          <cell r="J198">
            <v>17621</v>
          </cell>
          <cell r="K198">
            <v>17749</v>
          </cell>
          <cell r="L198">
            <v>17871</v>
          </cell>
          <cell r="M198">
            <v>5910</v>
          </cell>
          <cell r="N198">
            <v>6248</v>
          </cell>
          <cell r="O198">
            <v>6586</v>
          </cell>
          <cell r="P198">
            <v>6923</v>
          </cell>
          <cell r="Q198">
            <v>7263</v>
          </cell>
          <cell r="R198">
            <v>7603</v>
          </cell>
          <cell r="S198">
            <v>7819</v>
          </cell>
          <cell r="T198">
            <v>8016</v>
          </cell>
          <cell r="U198">
            <v>8197</v>
          </cell>
          <cell r="V198">
            <v>8366</v>
          </cell>
          <cell r="W198">
            <v>8528</v>
          </cell>
          <cell r="X198">
            <v>347</v>
          </cell>
          <cell r="Y198">
            <v>383</v>
          </cell>
          <cell r="Z198">
            <v>421</v>
          </cell>
          <cell r="AA198">
            <v>459</v>
          </cell>
          <cell r="AB198">
            <v>495</v>
          </cell>
          <cell r="AC198">
            <v>532</v>
          </cell>
          <cell r="AD198">
            <v>570</v>
          </cell>
          <cell r="AE198">
            <v>607</v>
          </cell>
          <cell r="AF198">
            <v>643</v>
          </cell>
          <cell r="AG198">
            <v>678</v>
          </cell>
          <cell r="AH198">
            <v>709</v>
          </cell>
          <cell r="AI198">
            <v>178</v>
          </cell>
          <cell r="AJ198">
            <v>217</v>
          </cell>
          <cell r="AK198">
            <v>261</v>
          </cell>
          <cell r="AL198">
            <v>309</v>
          </cell>
          <cell r="AM198">
            <v>353</v>
          </cell>
          <cell r="AN198">
            <v>398</v>
          </cell>
          <cell r="AO198">
            <v>443</v>
          </cell>
          <cell r="AP198">
            <v>487</v>
          </cell>
          <cell r="AQ198">
            <v>529</v>
          </cell>
          <cell r="AR198">
            <v>569</v>
          </cell>
          <cell r="AS198">
            <v>602</v>
          </cell>
          <cell r="AT198">
            <v>115</v>
          </cell>
          <cell r="AU198">
            <v>117</v>
          </cell>
          <cell r="AV198">
            <v>119</v>
          </cell>
          <cell r="AW198">
            <v>121</v>
          </cell>
          <cell r="AX198">
            <v>123</v>
          </cell>
          <cell r="AY198">
            <v>124</v>
          </cell>
          <cell r="AZ198">
            <v>125</v>
          </cell>
          <cell r="BA198">
            <v>126</v>
          </cell>
          <cell r="BB198">
            <v>126</v>
          </cell>
          <cell r="BC198">
            <v>126</v>
          </cell>
          <cell r="BD198">
            <v>127</v>
          </cell>
          <cell r="BE198">
            <v>115</v>
          </cell>
          <cell r="BF198">
            <v>117</v>
          </cell>
          <cell r="BG198">
            <v>119</v>
          </cell>
          <cell r="BH198">
            <v>121</v>
          </cell>
          <cell r="BI198">
            <v>123</v>
          </cell>
          <cell r="BJ198">
            <v>124</v>
          </cell>
          <cell r="BK198">
            <v>125</v>
          </cell>
          <cell r="BL198">
            <v>126</v>
          </cell>
          <cell r="BM198">
            <v>126</v>
          </cell>
          <cell r="BN198">
            <v>126</v>
          </cell>
          <cell r="BO198">
            <v>127</v>
          </cell>
        </row>
        <row r="199">
          <cell r="A199" t="str">
            <v>Uzbekistan</v>
          </cell>
          <cell r="B199">
            <v>35756</v>
          </cell>
          <cell r="C199">
            <v>35138</v>
          </cell>
          <cell r="D199">
            <v>34699</v>
          </cell>
          <cell r="E199">
            <v>34425</v>
          </cell>
          <cell r="F199">
            <v>34304</v>
          </cell>
          <cell r="G199">
            <v>34340</v>
          </cell>
          <cell r="H199">
            <v>34388</v>
          </cell>
          <cell r="I199">
            <v>34407</v>
          </cell>
          <cell r="J199">
            <v>34401</v>
          </cell>
          <cell r="K199">
            <v>34402</v>
          </cell>
          <cell r="L199">
            <v>34379</v>
          </cell>
          <cell r="M199">
            <v>9699</v>
          </cell>
          <cell r="N199">
            <v>11712</v>
          </cell>
          <cell r="O199">
            <v>13594</v>
          </cell>
          <cell r="P199">
            <v>15276</v>
          </cell>
          <cell r="Q199">
            <v>16945</v>
          </cell>
          <cell r="R199">
            <v>18605</v>
          </cell>
          <cell r="S199">
            <v>19346</v>
          </cell>
          <cell r="T199">
            <v>19962</v>
          </cell>
          <cell r="U199">
            <v>20468</v>
          </cell>
          <cell r="V199">
            <v>20903</v>
          </cell>
          <cell r="W199">
            <v>21251</v>
          </cell>
          <cell r="X199">
            <v>2302</v>
          </cell>
          <cell r="Y199">
            <v>2309</v>
          </cell>
          <cell r="Z199">
            <v>2305</v>
          </cell>
          <cell r="AA199">
            <v>2287</v>
          </cell>
          <cell r="AB199">
            <v>2247</v>
          </cell>
          <cell r="AC199">
            <v>2176</v>
          </cell>
          <cell r="AD199">
            <v>2092</v>
          </cell>
          <cell r="AE199">
            <v>1986</v>
          </cell>
          <cell r="AF199">
            <v>1868</v>
          </cell>
          <cell r="AG199">
            <v>1713</v>
          </cell>
          <cell r="AH199">
            <v>1562</v>
          </cell>
          <cell r="AI199">
            <v>1670</v>
          </cell>
          <cell r="AJ199">
            <v>1768</v>
          </cell>
          <cell r="AK199">
            <v>1856</v>
          </cell>
          <cell r="AL199">
            <v>1925</v>
          </cell>
          <cell r="AM199">
            <v>1957</v>
          </cell>
          <cell r="AN199">
            <v>1964</v>
          </cell>
          <cell r="AO199">
            <v>1913</v>
          </cell>
          <cell r="AP199">
            <v>1827</v>
          </cell>
          <cell r="AQ199">
            <v>1731</v>
          </cell>
          <cell r="AR199">
            <v>1614</v>
          </cell>
          <cell r="AS199">
            <v>1479</v>
          </cell>
          <cell r="AT199">
            <v>563</v>
          </cell>
          <cell r="AU199">
            <v>541</v>
          </cell>
          <cell r="AV199">
            <v>517</v>
          </cell>
          <cell r="AW199">
            <v>494</v>
          </cell>
          <cell r="AX199">
            <v>471</v>
          </cell>
          <cell r="AY199">
            <v>448</v>
          </cell>
          <cell r="AZ199">
            <v>427</v>
          </cell>
          <cell r="BA199">
            <v>408</v>
          </cell>
          <cell r="BB199">
            <v>391</v>
          </cell>
          <cell r="BC199">
            <v>376</v>
          </cell>
          <cell r="BD199">
            <v>366</v>
          </cell>
          <cell r="BE199">
            <v>563</v>
          </cell>
          <cell r="BF199">
            <v>541</v>
          </cell>
          <cell r="BG199">
            <v>517</v>
          </cell>
          <cell r="BH199">
            <v>494</v>
          </cell>
          <cell r="BI199">
            <v>471</v>
          </cell>
          <cell r="BJ199">
            <v>448</v>
          </cell>
          <cell r="BK199">
            <v>427</v>
          </cell>
          <cell r="BL199">
            <v>408</v>
          </cell>
          <cell r="BM199">
            <v>391</v>
          </cell>
          <cell r="BN199">
            <v>376</v>
          </cell>
          <cell r="BO199">
            <v>366</v>
          </cell>
        </row>
        <row r="200">
          <cell r="A200" t="str">
            <v>Vanuatu</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0</v>
          </cell>
          <cell r="BO200">
            <v>0</v>
          </cell>
        </row>
        <row r="201">
          <cell r="A201" t="str">
            <v>Venezuela</v>
          </cell>
          <cell r="B201">
            <v>115470</v>
          </cell>
          <cell r="C201">
            <v>116150</v>
          </cell>
          <cell r="D201">
            <v>116574</v>
          </cell>
          <cell r="E201">
            <v>116807</v>
          </cell>
          <cell r="F201">
            <v>116951</v>
          </cell>
          <cell r="G201">
            <v>117052</v>
          </cell>
          <cell r="H201">
            <v>117140</v>
          </cell>
          <cell r="I201">
            <v>117238</v>
          </cell>
          <cell r="J201">
            <v>117335</v>
          </cell>
          <cell r="K201">
            <v>117466</v>
          </cell>
          <cell r="L201">
            <v>117585</v>
          </cell>
          <cell r="M201">
            <v>34704</v>
          </cell>
          <cell r="N201">
            <v>34742</v>
          </cell>
          <cell r="O201">
            <v>34627</v>
          </cell>
          <cell r="P201">
            <v>34434</v>
          </cell>
          <cell r="Q201">
            <v>34202</v>
          </cell>
          <cell r="R201">
            <v>33961</v>
          </cell>
          <cell r="S201">
            <v>33791</v>
          </cell>
          <cell r="T201">
            <v>33610</v>
          </cell>
          <cell r="U201">
            <v>33417</v>
          </cell>
          <cell r="V201">
            <v>33227</v>
          </cell>
          <cell r="W201">
            <v>33035</v>
          </cell>
          <cell r="X201">
            <v>4378</v>
          </cell>
          <cell r="Y201">
            <v>4572</v>
          </cell>
          <cell r="Z201">
            <v>4795</v>
          </cell>
          <cell r="AA201">
            <v>5047</v>
          </cell>
          <cell r="AB201">
            <v>5257</v>
          </cell>
          <cell r="AC201">
            <v>5450</v>
          </cell>
          <cell r="AD201">
            <v>5652</v>
          </cell>
          <cell r="AE201">
            <v>5818</v>
          </cell>
          <cell r="AF201">
            <v>5986</v>
          </cell>
          <cell r="AG201">
            <v>6118</v>
          </cell>
          <cell r="AH201">
            <v>6261</v>
          </cell>
          <cell r="AI201">
            <v>1894</v>
          </cell>
          <cell r="AJ201">
            <v>2292</v>
          </cell>
          <cell r="AK201">
            <v>2675</v>
          </cell>
          <cell r="AL201">
            <v>3035</v>
          </cell>
          <cell r="AM201">
            <v>3437</v>
          </cell>
          <cell r="AN201">
            <v>3895</v>
          </cell>
          <cell r="AO201">
            <v>4223</v>
          </cell>
          <cell r="AP201">
            <v>4546</v>
          </cell>
          <cell r="AQ201">
            <v>4863</v>
          </cell>
          <cell r="AR201">
            <v>5148</v>
          </cell>
          <cell r="AS201">
            <v>5418</v>
          </cell>
          <cell r="AT201">
            <v>1420</v>
          </cell>
          <cell r="AU201">
            <v>1387</v>
          </cell>
          <cell r="AV201">
            <v>1354</v>
          </cell>
          <cell r="AW201">
            <v>1320</v>
          </cell>
          <cell r="AX201">
            <v>1287</v>
          </cell>
          <cell r="AY201">
            <v>1256</v>
          </cell>
          <cell r="AZ201">
            <v>1229</v>
          </cell>
          <cell r="BA201">
            <v>1204</v>
          </cell>
          <cell r="BB201">
            <v>1183</v>
          </cell>
          <cell r="BC201">
            <v>1165</v>
          </cell>
          <cell r="BD201">
            <v>1150</v>
          </cell>
          <cell r="BE201">
            <v>497</v>
          </cell>
          <cell r="BF201">
            <v>530</v>
          </cell>
          <cell r="BG201">
            <v>563</v>
          </cell>
          <cell r="BH201">
            <v>596</v>
          </cell>
          <cell r="BI201">
            <v>628</v>
          </cell>
          <cell r="BJ201">
            <v>661</v>
          </cell>
          <cell r="BK201">
            <v>661</v>
          </cell>
          <cell r="BL201">
            <v>661</v>
          </cell>
          <cell r="BM201">
            <v>661</v>
          </cell>
          <cell r="BN201">
            <v>661</v>
          </cell>
          <cell r="BO201">
            <v>661</v>
          </cell>
        </row>
        <row r="202">
          <cell r="A202" t="str">
            <v>Viet Nam</v>
          </cell>
          <cell r="B202">
            <v>284369</v>
          </cell>
          <cell r="C202">
            <v>288650</v>
          </cell>
          <cell r="D202">
            <v>292936</v>
          </cell>
          <cell r="E202">
            <v>297398</v>
          </cell>
          <cell r="F202">
            <v>302134</v>
          </cell>
          <cell r="G202">
            <v>307288</v>
          </cell>
          <cell r="H202">
            <v>312211</v>
          </cell>
          <cell r="I202">
            <v>316664</v>
          </cell>
          <cell r="J202">
            <v>320650</v>
          </cell>
          <cell r="K202">
            <v>324180</v>
          </cell>
          <cell r="L202">
            <v>327291</v>
          </cell>
          <cell r="M202">
            <v>107275</v>
          </cell>
          <cell r="N202">
            <v>116531</v>
          </cell>
          <cell r="O202">
            <v>125717</v>
          </cell>
          <cell r="P202">
            <v>134962</v>
          </cell>
          <cell r="Q202">
            <v>144396</v>
          </cell>
          <cell r="R202">
            <v>154145</v>
          </cell>
          <cell r="S202">
            <v>159700</v>
          </cell>
          <cell r="T202">
            <v>164617</v>
          </cell>
          <cell r="U202">
            <v>168942</v>
          </cell>
          <cell r="V202">
            <v>172717</v>
          </cell>
          <cell r="W202">
            <v>175985</v>
          </cell>
          <cell r="X202">
            <v>6459</v>
          </cell>
          <cell r="Y202">
            <v>6268</v>
          </cell>
          <cell r="Z202">
            <v>6037</v>
          </cell>
          <cell r="AA202">
            <v>5790</v>
          </cell>
          <cell r="AB202">
            <v>5528</v>
          </cell>
          <cell r="AC202">
            <v>5189</v>
          </cell>
          <cell r="AD202">
            <v>4773</v>
          </cell>
          <cell r="AE202">
            <v>4295</v>
          </cell>
          <cell r="AF202">
            <v>3825</v>
          </cell>
          <cell r="AG202">
            <v>3365</v>
          </cell>
          <cell r="AH202">
            <v>2922</v>
          </cell>
          <cell r="AI202">
            <v>3805</v>
          </cell>
          <cell r="AJ202">
            <v>3878</v>
          </cell>
          <cell r="AK202">
            <v>3889</v>
          </cell>
          <cell r="AL202">
            <v>3906</v>
          </cell>
          <cell r="AM202">
            <v>3840</v>
          </cell>
          <cell r="AN202">
            <v>3582</v>
          </cell>
          <cell r="AO202">
            <v>3306</v>
          </cell>
          <cell r="AP202">
            <v>2952</v>
          </cell>
          <cell r="AQ202">
            <v>2566</v>
          </cell>
          <cell r="AR202">
            <v>2180</v>
          </cell>
          <cell r="AS202">
            <v>1835</v>
          </cell>
          <cell r="AT202">
            <v>2106</v>
          </cell>
          <cell r="AU202">
            <v>1998</v>
          </cell>
          <cell r="AV202">
            <v>1894</v>
          </cell>
          <cell r="AW202">
            <v>1797</v>
          </cell>
          <cell r="AX202">
            <v>1707</v>
          </cell>
          <cell r="AY202">
            <v>1627</v>
          </cell>
          <cell r="AZ202">
            <v>1554</v>
          </cell>
          <cell r="BA202">
            <v>1484</v>
          </cell>
          <cell r="BB202">
            <v>1423</v>
          </cell>
          <cell r="BC202">
            <v>1371</v>
          </cell>
          <cell r="BD202">
            <v>1329</v>
          </cell>
          <cell r="BE202">
            <v>1294</v>
          </cell>
          <cell r="BF202">
            <v>1226</v>
          </cell>
          <cell r="BG202">
            <v>1163</v>
          </cell>
          <cell r="BH202">
            <v>1105</v>
          </cell>
          <cell r="BI202">
            <v>1054</v>
          </cell>
          <cell r="BJ202">
            <v>1022</v>
          </cell>
          <cell r="BK202">
            <v>1022</v>
          </cell>
          <cell r="BL202">
            <v>1022</v>
          </cell>
          <cell r="BM202">
            <v>1022</v>
          </cell>
          <cell r="BN202">
            <v>1022</v>
          </cell>
          <cell r="BO202">
            <v>1022</v>
          </cell>
        </row>
        <row r="203">
          <cell r="A203" t="str">
            <v>Yemen</v>
          </cell>
          <cell r="B203">
            <v>7323</v>
          </cell>
          <cell r="C203">
            <v>7714</v>
          </cell>
          <cell r="D203">
            <v>8156</v>
          </cell>
          <cell r="E203">
            <v>8646</v>
          </cell>
          <cell r="F203">
            <v>9193</v>
          </cell>
          <cell r="G203">
            <v>9769</v>
          </cell>
          <cell r="H203">
            <v>10373</v>
          </cell>
          <cell r="I203">
            <v>10990</v>
          </cell>
          <cell r="J203">
            <v>11619</v>
          </cell>
          <cell r="K203">
            <v>12259</v>
          </cell>
          <cell r="L203">
            <v>12909</v>
          </cell>
          <cell r="M203">
            <v>1486</v>
          </cell>
          <cell r="N203">
            <v>1982</v>
          </cell>
          <cell r="O203">
            <v>2493</v>
          </cell>
          <cell r="P203">
            <v>3018</v>
          </cell>
          <cell r="Q203">
            <v>4009</v>
          </cell>
          <cell r="R203">
            <v>4781</v>
          </cell>
          <cell r="S203">
            <v>5273</v>
          </cell>
          <cell r="T203">
            <v>5773</v>
          </cell>
          <cell r="U203">
            <v>6282</v>
          </cell>
          <cell r="V203">
            <v>6800</v>
          </cell>
          <cell r="W203">
            <v>7325</v>
          </cell>
          <cell r="X203">
            <v>346</v>
          </cell>
          <cell r="Y203">
            <v>392</v>
          </cell>
          <cell r="Z203">
            <v>446</v>
          </cell>
          <cell r="AA203">
            <v>505</v>
          </cell>
          <cell r="AB203">
            <v>566</v>
          </cell>
          <cell r="AC203">
            <v>625</v>
          </cell>
          <cell r="AD203">
            <v>688</v>
          </cell>
          <cell r="AE203">
            <v>757</v>
          </cell>
          <cell r="AF203">
            <v>823</v>
          </cell>
          <cell r="AG203">
            <v>888</v>
          </cell>
          <cell r="AH203">
            <v>953</v>
          </cell>
          <cell r="AI203">
            <v>148</v>
          </cell>
          <cell r="AJ203">
            <v>195</v>
          </cell>
          <cell r="AK203">
            <v>248</v>
          </cell>
          <cell r="AL203">
            <v>302</v>
          </cell>
          <cell r="AM203">
            <v>347</v>
          </cell>
          <cell r="AN203">
            <v>418</v>
          </cell>
          <cell r="AO203">
            <v>472</v>
          </cell>
          <cell r="AP203">
            <v>528</v>
          </cell>
          <cell r="AQ203">
            <v>586</v>
          </cell>
          <cell r="AR203">
            <v>640</v>
          </cell>
          <cell r="AS203">
            <v>694</v>
          </cell>
          <cell r="AT203">
            <v>199</v>
          </cell>
          <cell r="AU203">
            <v>216</v>
          </cell>
          <cell r="AV203">
            <v>234</v>
          </cell>
          <cell r="AW203">
            <v>253</v>
          </cell>
          <cell r="AX203">
            <v>274</v>
          </cell>
          <cell r="AY203">
            <v>296</v>
          </cell>
          <cell r="AZ203">
            <v>315</v>
          </cell>
          <cell r="BA203">
            <v>331</v>
          </cell>
          <cell r="BB203">
            <v>347</v>
          </cell>
          <cell r="BC203">
            <v>360</v>
          </cell>
          <cell r="BD203">
            <v>373</v>
          </cell>
          <cell r="BE203">
            <v>31</v>
          </cell>
          <cell r="BF203">
            <v>41</v>
          </cell>
          <cell r="BG203">
            <v>45</v>
          </cell>
          <cell r="BH203">
            <v>50</v>
          </cell>
          <cell r="BI203">
            <v>60</v>
          </cell>
          <cell r="BJ203">
            <v>65</v>
          </cell>
          <cell r="BK203">
            <v>65</v>
          </cell>
          <cell r="BL203">
            <v>65</v>
          </cell>
          <cell r="BM203">
            <v>65</v>
          </cell>
          <cell r="BN203">
            <v>65</v>
          </cell>
          <cell r="BO203">
            <v>65</v>
          </cell>
        </row>
        <row r="204">
          <cell r="A204" t="str">
            <v>Zambia</v>
          </cell>
          <cell r="B204">
            <v>1094965</v>
          </cell>
          <cell r="C204">
            <v>1098526</v>
          </cell>
          <cell r="D204">
            <v>1096284</v>
          </cell>
          <cell r="E204">
            <v>1093299</v>
          </cell>
          <cell r="F204">
            <v>1091778</v>
          </cell>
          <cell r="G204">
            <v>1092106</v>
          </cell>
          <cell r="H204">
            <v>1094078</v>
          </cell>
          <cell r="I204">
            <v>1097164</v>
          </cell>
          <cell r="J204">
            <v>1101529</v>
          </cell>
          <cell r="K204">
            <v>1106757</v>
          </cell>
          <cell r="L204">
            <v>1112782</v>
          </cell>
          <cell r="M204">
            <v>454967</v>
          </cell>
          <cell r="N204">
            <v>469010</v>
          </cell>
          <cell r="O204">
            <v>478599</v>
          </cell>
          <cell r="P204">
            <v>486889</v>
          </cell>
          <cell r="Q204">
            <v>495419</v>
          </cell>
          <cell r="R204">
            <v>503980</v>
          </cell>
          <cell r="S204">
            <v>507066</v>
          </cell>
          <cell r="T204">
            <v>509473</v>
          </cell>
          <cell r="U204">
            <v>511397</v>
          </cell>
          <cell r="V204">
            <v>513032</v>
          </cell>
          <cell r="W204">
            <v>514271</v>
          </cell>
          <cell r="X204">
            <v>147351</v>
          </cell>
          <cell r="Y204">
            <v>143546</v>
          </cell>
          <cell r="Z204">
            <v>140858</v>
          </cell>
          <cell r="AA204">
            <v>138013</v>
          </cell>
          <cell r="AB204">
            <v>136019</v>
          </cell>
          <cell r="AC204">
            <v>133576</v>
          </cell>
          <cell r="AD204">
            <v>129564</v>
          </cell>
          <cell r="AE204">
            <v>124253</v>
          </cell>
          <cell r="AF204">
            <v>117828</v>
          </cell>
          <cell r="AG204">
            <v>111228</v>
          </cell>
          <cell r="AH204">
            <v>104901</v>
          </cell>
          <cell r="AI204">
            <v>56327</v>
          </cell>
          <cell r="AJ204">
            <v>64100</v>
          </cell>
          <cell r="AK204">
            <v>71285</v>
          </cell>
          <cell r="AL204">
            <v>80133</v>
          </cell>
          <cell r="AM204">
            <v>86329</v>
          </cell>
          <cell r="AN204">
            <v>91770</v>
          </cell>
          <cell r="AO204">
            <v>95244</v>
          </cell>
          <cell r="AP204">
            <v>96830</v>
          </cell>
          <cell r="AQ204">
            <v>96753</v>
          </cell>
          <cell r="AR204">
            <v>95085</v>
          </cell>
          <cell r="AS204">
            <v>92687</v>
          </cell>
          <cell r="AT204">
            <v>81413</v>
          </cell>
          <cell r="AU204">
            <v>79281</v>
          </cell>
          <cell r="AV204">
            <v>76687</v>
          </cell>
          <cell r="AW204">
            <v>73870</v>
          </cell>
          <cell r="AX204">
            <v>71053</v>
          </cell>
          <cell r="AY204">
            <v>68396</v>
          </cell>
          <cell r="AZ204">
            <v>66064</v>
          </cell>
          <cell r="BA204">
            <v>64120</v>
          </cell>
          <cell r="BB204">
            <v>62578</v>
          </cell>
          <cell r="BC204">
            <v>61425</v>
          </cell>
          <cell r="BD204">
            <v>60612</v>
          </cell>
          <cell r="BE204">
            <v>71113</v>
          </cell>
          <cell r="BF204">
            <v>57692</v>
          </cell>
          <cell r="BG204">
            <v>58339</v>
          </cell>
          <cell r="BH204">
            <v>58986</v>
          </cell>
          <cell r="BI204">
            <v>59633</v>
          </cell>
          <cell r="BJ204">
            <v>60280</v>
          </cell>
          <cell r="BK204">
            <v>60280</v>
          </cell>
          <cell r="BL204">
            <v>60280</v>
          </cell>
          <cell r="BM204">
            <v>60280</v>
          </cell>
          <cell r="BN204">
            <v>60280</v>
          </cell>
          <cell r="BO204">
            <v>60280</v>
          </cell>
        </row>
        <row r="205">
          <cell r="A205" t="str">
            <v>Zimbabwe</v>
          </cell>
          <cell r="B205">
            <v>1430304</v>
          </cell>
          <cell r="C205">
            <v>1460186</v>
          </cell>
          <cell r="D205">
            <v>1484707</v>
          </cell>
          <cell r="E205">
            <v>1504160</v>
          </cell>
          <cell r="F205">
            <v>1517758</v>
          </cell>
          <cell r="G205">
            <v>1524379</v>
          </cell>
          <cell r="H205">
            <v>1529865</v>
          </cell>
          <cell r="I205">
            <v>1533794</v>
          </cell>
          <cell r="J205">
            <v>1537539</v>
          </cell>
          <cell r="K205">
            <v>1541033</v>
          </cell>
          <cell r="L205">
            <v>1544039</v>
          </cell>
          <cell r="M205">
            <v>665911</v>
          </cell>
          <cell r="N205">
            <v>755008</v>
          </cell>
          <cell r="O205">
            <v>800291</v>
          </cell>
          <cell r="P205">
            <v>840321</v>
          </cell>
          <cell r="Q205">
            <v>874522</v>
          </cell>
          <cell r="R205">
            <v>902039</v>
          </cell>
          <cell r="S205">
            <v>925457</v>
          </cell>
          <cell r="T205">
            <v>944889</v>
          </cell>
          <cell r="U205">
            <v>961409</v>
          </cell>
          <cell r="V205">
            <v>975086</v>
          </cell>
          <cell r="W205">
            <v>985838</v>
          </cell>
          <cell r="X205">
            <v>146362</v>
          </cell>
          <cell r="Y205">
            <v>133837</v>
          </cell>
          <cell r="Z205">
            <v>123297</v>
          </cell>
          <cell r="AA205">
            <v>112838</v>
          </cell>
          <cell r="AB205">
            <v>102196</v>
          </cell>
          <cell r="AC205">
            <v>91442</v>
          </cell>
          <cell r="AD205">
            <v>80423</v>
          </cell>
          <cell r="AE205">
            <v>69094</v>
          </cell>
          <cell r="AF205">
            <v>57599</v>
          </cell>
          <cell r="AG205">
            <v>46246</v>
          </cell>
          <cell r="AH205">
            <v>36294</v>
          </cell>
          <cell r="AI205">
            <v>50425</v>
          </cell>
          <cell r="AJ205">
            <v>52909</v>
          </cell>
          <cell r="AK205">
            <v>50719</v>
          </cell>
          <cell r="AL205">
            <v>48987</v>
          </cell>
          <cell r="AM205">
            <v>47709</v>
          </cell>
          <cell r="AN205">
            <v>44275</v>
          </cell>
          <cell r="AO205">
            <v>40982</v>
          </cell>
          <cell r="AP205">
            <v>36458</v>
          </cell>
          <cell r="AQ205">
            <v>31088</v>
          </cell>
          <cell r="AR205">
            <v>25143</v>
          </cell>
          <cell r="AS205">
            <v>19799</v>
          </cell>
          <cell r="AT205">
            <v>68935</v>
          </cell>
          <cell r="AU205">
            <v>67249</v>
          </cell>
          <cell r="AV205">
            <v>64918</v>
          </cell>
          <cell r="AW205">
            <v>62117</v>
          </cell>
          <cell r="AX205">
            <v>59063</v>
          </cell>
          <cell r="AY205">
            <v>55787</v>
          </cell>
          <cell r="AZ205">
            <v>52492</v>
          </cell>
          <cell r="BA205">
            <v>49309</v>
          </cell>
          <cell r="BB205">
            <v>46279</v>
          </cell>
          <cell r="BC205">
            <v>43471</v>
          </cell>
          <cell r="BD205">
            <v>40913</v>
          </cell>
          <cell r="BE205">
            <v>68935</v>
          </cell>
          <cell r="BF205">
            <v>67249</v>
          </cell>
          <cell r="BG205">
            <v>64918</v>
          </cell>
          <cell r="BH205">
            <v>62117</v>
          </cell>
          <cell r="BI205">
            <v>59063</v>
          </cell>
          <cell r="BJ205">
            <v>55787</v>
          </cell>
          <cell r="BK205">
            <v>52492</v>
          </cell>
          <cell r="BL205">
            <v>49309</v>
          </cell>
          <cell r="BM205">
            <v>46279</v>
          </cell>
          <cell r="BN205">
            <v>43471</v>
          </cell>
          <cell r="BO205">
            <v>40913</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tup"/>
      <sheetName val="Service calculations"/>
      <sheetName val="Resource requirements"/>
      <sheetName val="Results tables and graphs"/>
      <sheetName val="Selected populations"/>
      <sheetName val="Country populations"/>
      <sheetName val="Unit costs"/>
      <sheetName val="Blood sample &amp; packaging"/>
      <sheetName val="Centrifuge"/>
      <sheetName val="Running machine"/>
      <sheetName val="Transport"/>
      <sheetName val="Quality Assurance"/>
      <sheetName val="Capital and overhead costs"/>
    </sheetNames>
    <sheetDataSet>
      <sheetData sheetId="0"/>
      <sheetData sheetId="1">
        <row r="5">
          <cell r="B5">
            <v>102</v>
          </cell>
        </row>
        <row r="8">
          <cell r="R8">
            <v>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untry Information"/>
      <sheetName val="Facility information"/>
      <sheetName val="Share of Facility Time"/>
      <sheetName val="Cost Inputs - Personnel"/>
      <sheetName val="Direct Cost - Personnel"/>
      <sheetName val="Direct Cost - Drugs &amp; Supplies"/>
      <sheetName val="Cost Inputs - Drug &amp; Supplies"/>
      <sheetName val="Direct Cost - Training"/>
      <sheetName val="National IEC Campaign"/>
      <sheetName val="Indirect Cost - Capital"/>
      <sheetName val="Indirect Cost - Overheads"/>
      <sheetName val="Unit Cost Calculation"/>
    </sheetNames>
    <sheetDataSet>
      <sheetData sheetId="0" refreshError="1"/>
      <sheetData sheetId="1" refreshError="1"/>
      <sheetData sheetId="2" refreshError="1"/>
      <sheetData sheetId="3">
        <row r="13">
          <cell r="C13" t="e">
            <v>#DIV/0!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tartup"/>
      <sheetName val="ARV prices"/>
      <sheetName val="ARV Distribution"/>
      <sheetName val="Lab test costs"/>
      <sheetName val="Lab calcs - HIDE ME"/>
      <sheetName val="Lab schedule"/>
      <sheetName val="Human resource costs"/>
      <sheetName val="HR requirements"/>
      <sheetName val="Consult schedule"/>
      <sheetName val="OI costs"/>
      <sheetName val="Other costs"/>
      <sheetName val="Results"/>
      <sheetName val="Abbreviations"/>
      <sheetName val="Pre-ART calcs - HIDE ME"/>
    </sheetNames>
    <sheetDataSet>
      <sheetData sheetId="0"/>
      <sheetData sheetId="1"/>
      <sheetData sheetId="2"/>
      <sheetData sheetId="3"/>
      <sheetData sheetId="4">
        <row r="3">
          <cell r="B3" t="str">
            <v>Laboratory Tests</v>
          </cell>
        </row>
        <row r="6">
          <cell r="B6" t="str">
            <v>CD4 count</v>
          </cell>
        </row>
        <row r="7">
          <cell r="B7" t="str">
            <v>Viral Load</v>
          </cell>
        </row>
        <row r="8">
          <cell r="B8" t="str">
            <v>FBC</v>
          </cell>
        </row>
      </sheetData>
      <sheetData sheetId="5"/>
      <sheetData sheetId="6"/>
      <sheetData sheetId="7">
        <row r="17">
          <cell r="B17" t="str">
            <v>Nurse</v>
          </cell>
          <cell r="C17">
            <v>9842.622950819672</v>
          </cell>
          <cell r="E17">
            <v>9842.622950819672</v>
          </cell>
          <cell r="F17">
            <v>984.2622950819673</v>
          </cell>
          <cell r="G17">
            <v>9842.622950819672</v>
          </cell>
          <cell r="H17">
            <v>984.2622950819673</v>
          </cell>
          <cell r="I17">
            <v>10826.88524590164</v>
          </cell>
          <cell r="J17">
            <v>40</v>
          </cell>
          <cell r="K17">
            <v>48</v>
          </cell>
          <cell r="L17">
            <v>5.6390027322404377</v>
          </cell>
        </row>
        <row r="18">
          <cell r="B18" t="str">
            <v>Counselor</v>
          </cell>
          <cell r="C18">
            <v>3236.0655737704915</v>
          </cell>
          <cell r="E18">
            <v>3236.0655737704915</v>
          </cell>
          <cell r="F18">
            <v>323.60655737704917</v>
          </cell>
          <cell r="G18">
            <v>3236.0655737704915</v>
          </cell>
          <cell r="H18">
            <v>323.60655737704917</v>
          </cell>
          <cell r="I18">
            <v>3559.6721311475408</v>
          </cell>
          <cell r="J18">
            <v>40</v>
          </cell>
          <cell r="K18">
            <v>48</v>
          </cell>
          <cell r="L18">
            <v>1.8539959016393441</v>
          </cell>
        </row>
        <row r="19">
          <cell r="B19" t="str">
            <v>Doctor</v>
          </cell>
          <cell r="C19">
            <v>12001.639344262294</v>
          </cell>
          <cell r="E19">
            <v>12001.639344262294</v>
          </cell>
          <cell r="F19">
            <v>1200.1639344262294</v>
          </cell>
          <cell r="G19">
            <v>12001.639344262294</v>
          </cell>
          <cell r="H19">
            <v>1200.1639344262294</v>
          </cell>
          <cell r="I19">
            <v>13201.803278688523</v>
          </cell>
          <cell r="J19">
            <v>40</v>
          </cell>
          <cell r="K19">
            <v>48</v>
          </cell>
          <cell r="L19">
            <v>6.8759392076502728</v>
          </cell>
        </row>
        <row r="20">
          <cell r="B20" t="str">
            <v>Pharmacist</v>
          </cell>
          <cell r="C20">
            <v>12001.639344262294</v>
          </cell>
          <cell r="E20">
            <v>12001.639344262294</v>
          </cell>
          <cell r="F20">
            <v>1200.1639344262294</v>
          </cell>
          <cell r="G20">
            <v>12001.639344262294</v>
          </cell>
          <cell r="H20">
            <v>1200.1639344262294</v>
          </cell>
          <cell r="I20">
            <v>13201.803278688523</v>
          </cell>
          <cell r="J20">
            <v>40</v>
          </cell>
          <cell r="K20">
            <v>48</v>
          </cell>
          <cell r="L20">
            <v>6.8759392076502728</v>
          </cell>
        </row>
        <row r="21">
          <cell r="B21" t="str">
            <v>Nurse assistant</v>
          </cell>
          <cell r="C21">
            <v>3236.0655737704915</v>
          </cell>
          <cell r="E21">
            <v>3236.0655737704915</v>
          </cell>
          <cell r="F21">
            <v>323.60655737704917</v>
          </cell>
          <cell r="G21">
            <v>3236.0655737704915</v>
          </cell>
          <cell r="H21">
            <v>323.60655737704917</v>
          </cell>
          <cell r="I21">
            <v>3559.6721311475408</v>
          </cell>
          <cell r="J21">
            <v>40</v>
          </cell>
          <cell r="K21">
            <v>48</v>
          </cell>
          <cell r="L21">
            <v>1.8539959016393441</v>
          </cell>
        </row>
        <row r="22">
          <cell r="B22" t="str">
            <v>Auxiliary/Attendant</v>
          </cell>
          <cell r="C22">
            <v>3236.0655737704915</v>
          </cell>
          <cell r="E22">
            <v>3236.0655737704915</v>
          </cell>
          <cell r="F22">
            <v>323.60655737704917</v>
          </cell>
          <cell r="G22">
            <v>3236.0655737704915</v>
          </cell>
          <cell r="H22">
            <v>323.60655737704917</v>
          </cell>
          <cell r="I22">
            <v>3559.6721311475408</v>
          </cell>
          <cell r="J22">
            <v>40</v>
          </cell>
          <cell r="K22">
            <v>48</v>
          </cell>
          <cell r="L22">
            <v>1.8539959016393441</v>
          </cell>
        </row>
        <row r="23">
          <cell r="B23" t="str">
            <v>Clinical officer</v>
          </cell>
          <cell r="C23">
            <v>14634.426229508195</v>
          </cell>
          <cell r="E23">
            <v>14634.426229508195</v>
          </cell>
          <cell r="F23">
            <v>1463.4426229508197</v>
          </cell>
          <cell r="G23">
            <v>14634.426229508195</v>
          </cell>
          <cell r="H23">
            <v>1463.4426229508197</v>
          </cell>
          <cell r="I23">
            <v>16097.868852459014</v>
          </cell>
          <cell r="J23">
            <v>40</v>
          </cell>
          <cell r="K23">
            <v>48</v>
          </cell>
          <cell r="L23">
            <v>8.3843066939890694</v>
          </cell>
        </row>
        <row r="24">
          <cell r="B24" t="str">
            <v>Lab technician</v>
          </cell>
          <cell r="C24">
            <v>14634.426229508195</v>
          </cell>
          <cell r="E24">
            <v>14634.426229508195</v>
          </cell>
          <cell r="F24">
            <v>1463.4426229508197</v>
          </cell>
          <cell r="G24">
            <v>14634.426229508195</v>
          </cell>
          <cell r="H24">
            <v>1463.4426229508197</v>
          </cell>
          <cell r="I24">
            <v>16097.868852459014</v>
          </cell>
          <cell r="J24">
            <v>40</v>
          </cell>
          <cell r="K24">
            <v>48</v>
          </cell>
          <cell r="L24">
            <v>8.3843066939890694</v>
          </cell>
        </row>
        <row r="25">
          <cell r="B25" t="str">
            <v>Other 1</v>
          </cell>
          <cell r="C25">
            <v>14634.426229508195</v>
          </cell>
          <cell r="E25">
            <v>14634.426229508195</v>
          </cell>
          <cell r="F25">
            <v>1463.4426229508197</v>
          </cell>
          <cell r="G25">
            <v>14634.426229508195</v>
          </cell>
          <cell r="H25">
            <v>1463.4426229508197</v>
          </cell>
          <cell r="I25">
            <v>16097.868852459014</v>
          </cell>
          <cell r="J25">
            <v>40</v>
          </cell>
          <cell r="K25">
            <v>48</v>
          </cell>
          <cell r="L25">
            <v>8.3843066939890694</v>
          </cell>
        </row>
        <row r="26">
          <cell r="B26" t="str">
            <v>Other 2</v>
          </cell>
          <cell r="C26">
            <v>14634.426229508195</v>
          </cell>
          <cell r="E26">
            <v>14634.426229508195</v>
          </cell>
          <cell r="F26">
            <v>1463.4426229508197</v>
          </cell>
          <cell r="G26">
            <v>14634.426229508195</v>
          </cell>
          <cell r="H26">
            <v>1463.4426229508197</v>
          </cell>
          <cell r="I26">
            <v>16097.868852459014</v>
          </cell>
          <cell r="J26">
            <v>40</v>
          </cell>
          <cell r="K26">
            <v>48</v>
          </cell>
          <cell r="L26">
            <v>8.3843066939890694</v>
          </cell>
        </row>
        <row r="27">
          <cell r="B27" t="str">
            <v>Other 3</v>
          </cell>
          <cell r="C27">
            <v>12002</v>
          </cell>
          <cell r="E27">
            <v>12002</v>
          </cell>
          <cell r="F27">
            <v>1200.2</v>
          </cell>
          <cell r="G27">
            <v>12002</v>
          </cell>
          <cell r="H27">
            <v>1200.2</v>
          </cell>
          <cell r="I27">
            <v>13202.2</v>
          </cell>
          <cell r="J27">
            <v>40</v>
          </cell>
          <cell r="K27">
            <v>48</v>
          </cell>
          <cell r="L27">
            <v>6.8761458333333332</v>
          </cell>
        </row>
        <row r="28">
          <cell r="B28" t="str">
            <v>Other 4</v>
          </cell>
          <cell r="C28">
            <v>0</v>
          </cell>
          <cell r="E28">
            <v>0</v>
          </cell>
          <cell r="F28">
            <v>0</v>
          </cell>
          <cell r="G28">
            <v>0</v>
          </cell>
          <cell r="H28">
            <v>0</v>
          </cell>
          <cell r="I28">
            <v>0</v>
          </cell>
          <cell r="J28">
            <v>40</v>
          </cell>
          <cell r="K28">
            <v>48</v>
          </cell>
          <cell r="L28">
            <v>0</v>
          </cell>
        </row>
        <row r="29">
          <cell r="B29" t="str">
            <v>Other 5</v>
          </cell>
          <cell r="C29">
            <v>0</v>
          </cell>
          <cell r="E29">
            <v>0</v>
          </cell>
          <cell r="F29">
            <v>0</v>
          </cell>
          <cell r="G29">
            <v>0</v>
          </cell>
          <cell r="H29">
            <v>0</v>
          </cell>
          <cell r="I29">
            <v>0</v>
          </cell>
          <cell r="J29">
            <v>40</v>
          </cell>
          <cell r="K29">
            <v>48</v>
          </cell>
          <cell r="L29">
            <v>0</v>
          </cell>
        </row>
        <row r="30">
          <cell r="B30" t="str">
            <v>Other 6</v>
          </cell>
          <cell r="C30">
            <v>0</v>
          </cell>
          <cell r="E30">
            <v>0</v>
          </cell>
          <cell r="F30">
            <v>0</v>
          </cell>
          <cell r="G30">
            <v>0</v>
          </cell>
          <cell r="H30">
            <v>0</v>
          </cell>
          <cell r="I30">
            <v>0</v>
          </cell>
          <cell r="J30">
            <v>40</v>
          </cell>
          <cell r="K30">
            <v>48</v>
          </cell>
          <cell r="L30">
            <v>0</v>
          </cell>
        </row>
        <row r="31">
          <cell r="B31" t="str">
            <v>Other 7</v>
          </cell>
          <cell r="C31">
            <v>0</v>
          </cell>
          <cell r="E31">
            <v>0</v>
          </cell>
          <cell r="F31">
            <v>0</v>
          </cell>
          <cell r="G31">
            <v>0</v>
          </cell>
          <cell r="H31">
            <v>0</v>
          </cell>
          <cell r="I31">
            <v>0</v>
          </cell>
          <cell r="J31">
            <v>40</v>
          </cell>
          <cell r="K31">
            <v>48</v>
          </cell>
          <cell r="L31">
            <v>0</v>
          </cell>
        </row>
      </sheetData>
      <sheetData sheetId="8">
        <row r="7">
          <cell r="B7" t="str">
            <v>Visit type</v>
          </cell>
        </row>
        <row r="8">
          <cell r="B8" t="str">
            <v>Pre-ART</v>
          </cell>
        </row>
        <row r="9">
          <cell r="B9" t="str">
            <v>Counseling</v>
          </cell>
        </row>
        <row r="10">
          <cell r="B10" t="str">
            <v>ART outpatient visit</v>
          </cell>
        </row>
        <row r="11">
          <cell r="B11" t="str">
            <v>OI visit</v>
          </cell>
        </row>
        <row r="12">
          <cell r="B12" t="str">
            <v>OI inpatient day</v>
          </cell>
        </row>
        <row r="13">
          <cell r="B13" t="str">
            <v>ART inpatient day</v>
          </cell>
        </row>
        <row r="14">
          <cell r="B14" t="str">
            <v>Other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291D81"/>
  </sheetPr>
  <dimension ref="A1:V62"/>
  <sheetViews>
    <sheetView showGridLines="0" showRowColHeaders="0" tabSelected="1" zoomScale="90" zoomScaleNormal="90" workbookViewId="0">
      <selection sqref="A1:V32"/>
    </sheetView>
  </sheetViews>
  <sheetFormatPr defaultColWidth="9.140625" defaultRowHeight="15" x14ac:dyDescent="0.25"/>
  <cols>
    <col min="1" max="13" width="9.140625" style="391"/>
    <col min="14" max="14" width="19.85546875" style="391" customWidth="1"/>
    <col min="15" max="16384" width="9.140625" style="391"/>
  </cols>
  <sheetData>
    <row r="1" spans="1:22" x14ac:dyDescent="0.25">
      <c r="A1" s="423"/>
      <c r="B1" s="423"/>
      <c r="C1" s="423"/>
      <c r="D1" s="423"/>
      <c r="E1" s="423"/>
      <c r="F1" s="423"/>
      <c r="G1" s="423"/>
      <c r="H1" s="423"/>
      <c r="I1" s="423"/>
      <c r="J1" s="423"/>
      <c r="K1" s="423"/>
      <c r="L1" s="423"/>
      <c r="M1" s="423"/>
      <c r="N1" s="423"/>
      <c r="O1" s="423"/>
      <c r="P1" s="423"/>
      <c r="Q1" s="423"/>
      <c r="R1" s="423"/>
      <c r="S1" s="423"/>
      <c r="T1" s="423"/>
      <c r="U1" s="423"/>
      <c r="V1" s="423"/>
    </row>
    <row r="2" spans="1:22" x14ac:dyDescent="0.25">
      <c r="A2" s="423"/>
      <c r="B2" s="423"/>
      <c r="C2" s="423"/>
      <c r="D2" s="423"/>
      <c r="E2" s="423"/>
      <c r="F2" s="423"/>
      <c r="G2" s="423"/>
      <c r="H2" s="423"/>
      <c r="I2" s="423"/>
      <c r="J2" s="423"/>
      <c r="K2" s="423"/>
      <c r="L2" s="423"/>
      <c r="M2" s="423"/>
      <c r="N2" s="423"/>
      <c r="O2" s="423"/>
      <c r="P2" s="423"/>
      <c r="Q2" s="423"/>
      <c r="R2" s="423"/>
      <c r="S2" s="423"/>
      <c r="T2" s="423"/>
      <c r="U2" s="423"/>
      <c r="V2" s="423"/>
    </row>
    <row r="3" spans="1:22" x14ac:dyDescent="0.25">
      <c r="A3" s="423"/>
      <c r="B3" s="423"/>
      <c r="C3" s="423"/>
      <c r="D3" s="423"/>
      <c r="E3" s="423"/>
      <c r="F3" s="423"/>
      <c r="G3" s="423"/>
      <c r="H3" s="423"/>
      <c r="I3" s="423"/>
      <c r="J3" s="423"/>
      <c r="K3" s="423"/>
      <c r="L3" s="423"/>
      <c r="M3" s="423"/>
      <c r="N3" s="423"/>
      <c r="O3" s="423"/>
      <c r="P3" s="423"/>
      <c r="Q3" s="423"/>
      <c r="R3" s="423"/>
      <c r="S3" s="423"/>
      <c r="T3" s="423"/>
      <c r="U3" s="423"/>
      <c r="V3" s="423"/>
    </row>
    <row r="4" spans="1:22" x14ac:dyDescent="0.25">
      <c r="A4" s="423"/>
      <c r="B4" s="423"/>
      <c r="C4" s="423"/>
      <c r="D4" s="423"/>
      <c r="E4" s="423"/>
      <c r="F4" s="423"/>
      <c r="G4" s="423"/>
      <c r="H4" s="423"/>
      <c r="I4" s="423"/>
      <c r="J4" s="423"/>
      <c r="K4" s="423"/>
      <c r="L4" s="423"/>
      <c r="M4" s="423"/>
      <c r="N4" s="423"/>
      <c r="O4" s="423"/>
      <c r="P4" s="423"/>
      <c r="Q4" s="423"/>
      <c r="R4" s="423"/>
      <c r="S4" s="423"/>
      <c r="T4" s="423"/>
      <c r="U4" s="423"/>
      <c r="V4" s="423"/>
    </row>
    <row r="5" spans="1:22" x14ac:dyDescent="0.25">
      <c r="A5" s="423"/>
      <c r="B5" s="423"/>
      <c r="C5" s="423"/>
      <c r="D5" s="423"/>
      <c r="E5" s="423"/>
      <c r="F5" s="423"/>
      <c r="G5" s="423"/>
      <c r="H5" s="423"/>
      <c r="I5" s="423"/>
      <c r="J5" s="423"/>
      <c r="K5" s="423"/>
      <c r="L5" s="423"/>
      <c r="M5" s="423"/>
      <c r="N5" s="423"/>
      <c r="O5" s="423"/>
      <c r="P5" s="423"/>
      <c r="Q5" s="423"/>
      <c r="R5" s="423"/>
      <c r="S5" s="423"/>
      <c r="T5" s="423"/>
      <c r="U5" s="423"/>
      <c r="V5" s="423"/>
    </row>
    <row r="6" spans="1:22" x14ac:dyDescent="0.25">
      <c r="A6" s="423"/>
      <c r="B6" s="423"/>
      <c r="C6" s="423"/>
      <c r="D6" s="423"/>
      <c r="E6" s="423"/>
      <c r="F6" s="423"/>
      <c r="G6" s="423"/>
      <c r="H6" s="423"/>
      <c r="I6" s="423"/>
      <c r="J6" s="423"/>
      <c r="K6" s="423"/>
      <c r="L6" s="423"/>
      <c r="M6" s="423"/>
      <c r="N6" s="423"/>
      <c r="O6" s="423"/>
      <c r="P6" s="423"/>
      <c r="Q6" s="423"/>
      <c r="R6" s="423"/>
      <c r="S6" s="423"/>
      <c r="T6" s="423"/>
      <c r="U6" s="423"/>
      <c r="V6" s="423"/>
    </row>
    <row r="7" spans="1:22" x14ac:dyDescent="0.25">
      <c r="A7" s="423"/>
      <c r="B7" s="423"/>
      <c r="C7" s="423"/>
      <c r="D7" s="423"/>
      <c r="E7" s="423"/>
      <c r="F7" s="423"/>
      <c r="G7" s="423"/>
      <c r="H7" s="423"/>
      <c r="I7" s="423"/>
      <c r="J7" s="423"/>
      <c r="K7" s="423"/>
      <c r="L7" s="423"/>
      <c r="M7" s="423"/>
      <c r="N7" s="423"/>
      <c r="O7" s="423"/>
      <c r="P7" s="423"/>
      <c r="Q7" s="423"/>
      <c r="R7" s="423"/>
      <c r="S7" s="423"/>
      <c r="T7" s="423"/>
      <c r="U7" s="423"/>
      <c r="V7" s="423"/>
    </row>
    <row r="8" spans="1:22" x14ac:dyDescent="0.25">
      <c r="A8" s="423"/>
      <c r="B8" s="423"/>
      <c r="C8" s="423"/>
      <c r="D8" s="423"/>
      <c r="E8" s="423"/>
      <c r="F8" s="423"/>
      <c r="G8" s="423"/>
      <c r="H8" s="423"/>
      <c r="I8" s="423"/>
      <c r="J8" s="423"/>
      <c r="K8" s="423"/>
      <c r="L8" s="423"/>
      <c r="M8" s="423"/>
      <c r="N8" s="423"/>
      <c r="O8" s="423"/>
      <c r="P8" s="423"/>
      <c r="Q8" s="423"/>
      <c r="R8" s="423"/>
      <c r="S8" s="423"/>
      <c r="T8" s="423"/>
      <c r="U8" s="423"/>
      <c r="V8" s="423"/>
    </row>
    <row r="9" spans="1:22" x14ac:dyDescent="0.25">
      <c r="A9" s="423"/>
      <c r="B9" s="423"/>
      <c r="C9" s="423"/>
      <c r="D9" s="423"/>
      <c r="E9" s="423"/>
      <c r="F9" s="423"/>
      <c r="G9" s="423"/>
      <c r="H9" s="423"/>
      <c r="I9" s="423"/>
      <c r="J9" s="423"/>
      <c r="K9" s="423"/>
      <c r="L9" s="423"/>
      <c r="M9" s="423"/>
      <c r="N9" s="423"/>
      <c r="O9" s="423"/>
      <c r="P9" s="423"/>
      <c r="Q9" s="423"/>
      <c r="R9" s="423"/>
      <c r="S9" s="423"/>
      <c r="T9" s="423"/>
      <c r="U9" s="423"/>
      <c r="V9" s="423"/>
    </row>
    <row r="10" spans="1:22" x14ac:dyDescent="0.25">
      <c r="A10" s="423"/>
      <c r="B10" s="423"/>
      <c r="C10" s="423"/>
      <c r="D10" s="423"/>
      <c r="E10" s="423"/>
      <c r="F10" s="423"/>
      <c r="G10" s="423"/>
      <c r="H10" s="423"/>
      <c r="I10" s="423"/>
      <c r="J10" s="423"/>
      <c r="K10" s="423"/>
      <c r="L10" s="423"/>
      <c r="M10" s="423"/>
      <c r="N10" s="423"/>
      <c r="O10" s="423"/>
      <c r="P10" s="423"/>
      <c r="Q10" s="423"/>
      <c r="R10" s="423"/>
      <c r="S10" s="423"/>
      <c r="T10" s="423"/>
      <c r="U10" s="423"/>
      <c r="V10" s="423"/>
    </row>
    <row r="11" spans="1:22" x14ac:dyDescent="0.25">
      <c r="A11" s="423"/>
      <c r="B11" s="423"/>
      <c r="C11" s="423"/>
      <c r="D11" s="423"/>
      <c r="E11" s="423"/>
      <c r="F11" s="423"/>
      <c r="G11" s="423"/>
      <c r="H11" s="423"/>
      <c r="I11" s="423"/>
      <c r="J11" s="423"/>
      <c r="K11" s="423"/>
      <c r="L11" s="423"/>
      <c r="M11" s="423"/>
      <c r="N11" s="423"/>
      <c r="O11" s="423"/>
      <c r="P11" s="423"/>
      <c r="Q11" s="423"/>
      <c r="R11" s="423"/>
      <c r="S11" s="423"/>
      <c r="T11" s="423"/>
      <c r="U11" s="423"/>
      <c r="V11" s="423"/>
    </row>
    <row r="12" spans="1:22" x14ac:dyDescent="0.25">
      <c r="A12" s="423"/>
      <c r="B12" s="423"/>
      <c r="C12" s="423"/>
      <c r="D12" s="423"/>
      <c r="E12" s="423"/>
      <c r="F12" s="423"/>
      <c r="G12" s="423"/>
      <c r="H12" s="423"/>
      <c r="I12" s="423"/>
      <c r="J12" s="423"/>
      <c r="K12" s="423"/>
      <c r="L12" s="423"/>
      <c r="M12" s="423"/>
      <c r="N12" s="423"/>
      <c r="O12" s="423"/>
      <c r="P12" s="423"/>
      <c r="Q12" s="423"/>
      <c r="R12" s="423"/>
      <c r="S12" s="423"/>
      <c r="T12" s="423"/>
      <c r="U12" s="423"/>
      <c r="V12" s="423"/>
    </row>
    <row r="13" spans="1:22" x14ac:dyDescent="0.25">
      <c r="A13" s="423"/>
      <c r="B13" s="423"/>
      <c r="C13" s="423"/>
      <c r="D13" s="423"/>
      <c r="E13" s="423"/>
      <c r="F13" s="423"/>
      <c r="G13" s="423"/>
      <c r="H13" s="423"/>
      <c r="I13" s="423"/>
      <c r="J13" s="423"/>
      <c r="K13" s="423"/>
      <c r="L13" s="423"/>
      <c r="M13" s="423"/>
      <c r="N13" s="423"/>
      <c r="O13" s="423"/>
      <c r="P13" s="423"/>
      <c r="Q13" s="423"/>
      <c r="R13" s="423"/>
      <c r="S13" s="423"/>
      <c r="T13" s="423"/>
      <c r="U13" s="423"/>
      <c r="V13" s="423"/>
    </row>
    <row r="14" spans="1:22" x14ac:dyDescent="0.25">
      <c r="A14" s="423"/>
      <c r="B14" s="423"/>
      <c r="C14" s="423"/>
      <c r="D14" s="423"/>
      <c r="E14" s="423"/>
      <c r="F14" s="423"/>
      <c r="G14" s="423"/>
      <c r="H14" s="423"/>
      <c r="I14" s="423"/>
      <c r="J14" s="423"/>
      <c r="K14" s="423"/>
      <c r="L14" s="423"/>
      <c r="M14" s="423"/>
      <c r="N14" s="423"/>
      <c r="O14" s="423"/>
      <c r="P14" s="423"/>
      <c r="Q14" s="423"/>
      <c r="R14" s="423"/>
      <c r="S14" s="423"/>
      <c r="T14" s="423"/>
      <c r="U14" s="423"/>
      <c r="V14" s="423"/>
    </row>
    <row r="15" spans="1:22" x14ac:dyDescent="0.25">
      <c r="A15" s="423"/>
      <c r="B15" s="423"/>
      <c r="C15" s="423"/>
      <c r="D15" s="423"/>
      <c r="E15" s="423"/>
      <c r="F15" s="423"/>
      <c r="G15" s="423"/>
      <c r="H15" s="423"/>
      <c r="I15" s="423"/>
      <c r="J15" s="423"/>
      <c r="K15" s="423"/>
      <c r="L15" s="423"/>
      <c r="M15" s="423"/>
      <c r="N15" s="423"/>
      <c r="O15" s="423"/>
      <c r="P15" s="423"/>
      <c r="Q15" s="423"/>
      <c r="R15" s="423"/>
      <c r="S15" s="423"/>
      <c r="T15" s="423"/>
      <c r="U15" s="423"/>
      <c r="V15" s="423"/>
    </row>
    <row r="16" spans="1:22" x14ac:dyDescent="0.25">
      <c r="A16" s="423"/>
      <c r="B16" s="423"/>
      <c r="C16" s="423"/>
      <c r="D16" s="423"/>
      <c r="E16" s="423"/>
      <c r="F16" s="423"/>
      <c r="G16" s="423"/>
      <c r="H16" s="423"/>
      <c r="I16" s="423"/>
      <c r="J16" s="423"/>
      <c r="K16" s="423"/>
      <c r="L16" s="423"/>
      <c r="M16" s="423"/>
      <c r="N16" s="423"/>
      <c r="O16" s="423"/>
      <c r="P16" s="423"/>
      <c r="Q16" s="423"/>
      <c r="R16" s="423"/>
      <c r="S16" s="423"/>
      <c r="T16" s="423"/>
      <c r="U16" s="423"/>
      <c r="V16" s="423"/>
    </row>
    <row r="17" spans="1:22" x14ac:dyDescent="0.25">
      <c r="A17" s="423"/>
      <c r="B17" s="423"/>
      <c r="C17" s="423"/>
      <c r="D17" s="423"/>
      <c r="E17" s="423"/>
      <c r="F17" s="423"/>
      <c r="G17" s="423"/>
      <c r="H17" s="423"/>
      <c r="I17" s="423"/>
      <c r="J17" s="423"/>
      <c r="K17" s="423"/>
      <c r="L17" s="423"/>
      <c r="M17" s="423"/>
      <c r="N17" s="423"/>
      <c r="O17" s="423"/>
      <c r="P17" s="423"/>
      <c r="Q17" s="423"/>
      <c r="R17" s="423"/>
      <c r="S17" s="423"/>
      <c r="T17" s="423"/>
      <c r="U17" s="423"/>
      <c r="V17" s="423"/>
    </row>
    <row r="18" spans="1:22" x14ac:dyDescent="0.25">
      <c r="A18" s="423"/>
      <c r="B18" s="423"/>
      <c r="C18" s="423"/>
      <c r="D18" s="423"/>
      <c r="E18" s="423"/>
      <c r="F18" s="423"/>
      <c r="G18" s="423"/>
      <c r="H18" s="423"/>
      <c r="I18" s="423"/>
      <c r="J18" s="423"/>
      <c r="K18" s="423"/>
      <c r="L18" s="423"/>
      <c r="M18" s="423"/>
      <c r="N18" s="423"/>
      <c r="O18" s="423"/>
      <c r="P18" s="423"/>
      <c r="Q18" s="423"/>
      <c r="R18" s="423"/>
      <c r="S18" s="423"/>
      <c r="T18" s="423"/>
      <c r="U18" s="423"/>
      <c r="V18" s="423"/>
    </row>
    <row r="19" spans="1:22" x14ac:dyDescent="0.25">
      <c r="A19" s="423"/>
      <c r="B19" s="423"/>
      <c r="C19" s="423"/>
      <c r="D19" s="423"/>
      <c r="E19" s="423"/>
      <c r="F19" s="423"/>
      <c r="G19" s="423"/>
      <c r="H19" s="423"/>
      <c r="I19" s="423"/>
      <c r="J19" s="423"/>
      <c r="K19" s="423"/>
      <c r="L19" s="423"/>
      <c r="M19" s="423"/>
      <c r="N19" s="423"/>
      <c r="O19" s="423"/>
      <c r="P19" s="423"/>
      <c r="Q19" s="423"/>
      <c r="R19" s="423"/>
      <c r="S19" s="423"/>
      <c r="T19" s="423"/>
      <c r="U19" s="423"/>
      <c r="V19" s="423"/>
    </row>
    <row r="20" spans="1:22" x14ac:dyDescent="0.25">
      <c r="A20" s="423"/>
      <c r="B20" s="423"/>
      <c r="C20" s="423"/>
      <c r="D20" s="423"/>
      <c r="E20" s="423"/>
      <c r="F20" s="423"/>
      <c r="G20" s="423"/>
      <c r="H20" s="423"/>
      <c r="I20" s="423"/>
      <c r="J20" s="423"/>
      <c r="K20" s="423"/>
      <c r="L20" s="423"/>
      <c r="M20" s="423"/>
      <c r="N20" s="423"/>
      <c r="O20" s="423"/>
      <c r="P20" s="423"/>
      <c r="Q20" s="423"/>
      <c r="R20" s="423"/>
      <c r="S20" s="423"/>
      <c r="T20" s="423"/>
      <c r="U20" s="423"/>
      <c r="V20" s="423"/>
    </row>
    <row r="21" spans="1:22" x14ac:dyDescent="0.25">
      <c r="A21" s="423"/>
      <c r="B21" s="423"/>
      <c r="C21" s="423"/>
      <c r="D21" s="423"/>
      <c r="E21" s="423"/>
      <c r="F21" s="423"/>
      <c r="G21" s="423"/>
      <c r="H21" s="423"/>
      <c r="I21" s="423"/>
      <c r="J21" s="423"/>
      <c r="K21" s="423"/>
      <c r="L21" s="423"/>
      <c r="M21" s="423"/>
      <c r="N21" s="423"/>
      <c r="O21" s="423"/>
      <c r="P21" s="423"/>
      <c r="Q21" s="423"/>
      <c r="R21" s="423"/>
      <c r="S21" s="423"/>
      <c r="T21" s="423"/>
      <c r="U21" s="423"/>
      <c r="V21" s="423"/>
    </row>
    <row r="22" spans="1:22" x14ac:dyDescent="0.25">
      <c r="A22" s="423"/>
      <c r="B22" s="423"/>
      <c r="C22" s="423"/>
      <c r="D22" s="423"/>
      <c r="E22" s="423"/>
      <c r="F22" s="423"/>
      <c r="G22" s="423"/>
      <c r="H22" s="423"/>
      <c r="I22" s="423"/>
      <c r="J22" s="423"/>
      <c r="K22" s="423"/>
      <c r="L22" s="423"/>
      <c r="M22" s="423"/>
      <c r="N22" s="423"/>
      <c r="O22" s="423"/>
      <c r="P22" s="423"/>
      <c r="Q22" s="423"/>
      <c r="R22" s="423"/>
      <c r="S22" s="423"/>
      <c r="T22" s="423"/>
      <c r="U22" s="423"/>
      <c r="V22" s="423"/>
    </row>
    <row r="23" spans="1:22" x14ac:dyDescent="0.25">
      <c r="A23" s="423"/>
      <c r="B23" s="423"/>
      <c r="C23" s="423"/>
      <c r="D23" s="423"/>
      <c r="E23" s="423"/>
      <c r="F23" s="423"/>
      <c r="G23" s="423"/>
      <c r="H23" s="423"/>
      <c r="I23" s="423"/>
      <c r="J23" s="423"/>
      <c r="K23" s="423"/>
      <c r="L23" s="423"/>
      <c r="M23" s="423"/>
      <c r="N23" s="423"/>
      <c r="O23" s="423"/>
      <c r="P23" s="423"/>
      <c r="Q23" s="423"/>
      <c r="R23" s="423"/>
      <c r="S23" s="423"/>
      <c r="T23" s="423"/>
      <c r="U23" s="423"/>
      <c r="V23" s="423"/>
    </row>
    <row r="24" spans="1:22" x14ac:dyDescent="0.25">
      <c r="A24" s="423"/>
      <c r="B24" s="423"/>
      <c r="C24" s="423"/>
      <c r="D24" s="423"/>
      <c r="E24" s="423"/>
      <c r="F24" s="423"/>
      <c r="G24" s="423"/>
      <c r="H24" s="423"/>
      <c r="I24" s="423"/>
      <c r="J24" s="423"/>
      <c r="K24" s="423"/>
      <c r="L24" s="423"/>
      <c r="M24" s="423"/>
      <c r="N24" s="423"/>
      <c r="O24" s="423"/>
      <c r="P24" s="423"/>
      <c r="Q24" s="423"/>
      <c r="R24" s="423"/>
      <c r="S24" s="423"/>
      <c r="T24" s="423"/>
      <c r="U24" s="423"/>
      <c r="V24" s="423"/>
    </row>
    <row r="25" spans="1:22" x14ac:dyDescent="0.25">
      <c r="A25" s="423"/>
      <c r="B25" s="423"/>
      <c r="C25" s="423"/>
      <c r="D25" s="423"/>
      <c r="E25" s="423"/>
      <c r="F25" s="423"/>
      <c r="G25" s="423"/>
      <c r="H25" s="423"/>
      <c r="I25" s="423"/>
      <c r="J25" s="423"/>
      <c r="K25" s="423"/>
      <c r="L25" s="423"/>
      <c r="M25" s="423"/>
      <c r="N25" s="423"/>
      <c r="O25" s="423"/>
      <c r="P25" s="423"/>
      <c r="Q25" s="423"/>
      <c r="R25" s="423"/>
      <c r="S25" s="423"/>
      <c r="T25" s="423"/>
      <c r="U25" s="423"/>
      <c r="V25" s="423"/>
    </row>
    <row r="26" spans="1:22" x14ac:dyDescent="0.25">
      <c r="A26" s="423"/>
      <c r="B26" s="423"/>
      <c r="C26" s="423"/>
      <c r="D26" s="423"/>
      <c r="E26" s="423"/>
      <c r="F26" s="423"/>
      <c r="G26" s="423"/>
      <c r="H26" s="423"/>
      <c r="I26" s="423"/>
      <c r="J26" s="423"/>
      <c r="K26" s="423"/>
      <c r="L26" s="423"/>
      <c r="M26" s="423"/>
      <c r="N26" s="423"/>
      <c r="O26" s="423"/>
      <c r="P26" s="423"/>
      <c r="Q26" s="423"/>
      <c r="R26" s="423"/>
      <c r="S26" s="423"/>
      <c r="T26" s="423"/>
      <c r="U26" s="423"/>
      <c r="V26" s="423"/>
    </row>
    <row r="27" spans="1:22" x14ac:dyDescent="0.25">
      <c r="A27" s="423"/>
      <c r="B27" s="423"/>
      <c r="C27" s="423"/>
      <c r="D27" s="423"/>
      <c r="E27" s="423"/>
      <c r="F27" s="423"/>
      <c r="G27" s="423"/>
      <c r="H27" s="423"/>
      <c r="I27" s="423"/>
      <c r="J27" s="423"/>
      <c r="K27" s="423"/>
      <c r="L27" s="423"/>
      <c r="M27" s="423"/>
      <c r="N27" s="423"/>
      <c r="O27" s="423"/>
      <c r="P27" s="423"/>
      <c r="Q27" s="423"/>
      <c r="R27" s="423"/>
      <c r="S27" s="423"/>
      <c r="T27" s="423"/>
      <c r="U27" s="423"/>
      <c r="V27" s="423"/>
    </row>
    <row r="28" spans="1:22" x14ac:dyDescent="0.25">
      <c r="A28" s="423"/>
      <c r="B28" s="423"/>
      <c r="C28" s="423"/>
      <c r="D28" s="423"/>
      <c r="E28" s="423"/>
      <c r="F28" s="423"/>
      <c r="G28" s="423"/>
      <c r="H28" s="423"/>
      <c r="I28" s="423"/>
      <c r="J28" s="423"/>
      <c r="K28" s="423"/>
      <c r="L28" s="423"/>
      <c r="M28" s="423"/>
      <c r="N28" s="423"/>
      <c r="O28" s="423"/>
      <c r="P28" s="423"/>
      <c r="Q28" s="423"/>
      <c r="R28" s="423"/>
      <c r="S28" s="423"/>
      <c r="T28" s="423"/>
      <c r="U28" s="423"/>
      <c r="V28" s="423"/>
    </row>
    <row r="29" spans="1:22" x14ac:dyDescent="0.25">
      <c r="A29" s="423"/>
      <c r="B29" s="423"/>
      <c r="C29" s="423"/>
      <c r="D29" s="423"/>
      <c r="E29" s="423"/>
      <c r="F29" s="423"/>
      <c r="G29" s="423"/>
      <c r="H29" s="423"/>
      <c r="I29" s="423"/>
      <c r="J29" s="423"/>
      <c r="K29" s="423"/>
      <c r="L29" s="423"/>
      <c r="M29" s="423"/>
      <c r="N29" s="423"/>
      <c r="O29" s="423"/>
      <c r="P29" s="423"/>
      <c r="Q29" s="423"/>
      <c r="R29" s="423"/>
      <c r="S29" s="423"/>
      <c r="T29" s="423"/>
      <c r="U29" s="423"/>
      <c r="V29" s="423"/>
    </row>
    <row r="30" spans="1:22" x14ac:dyDescent="0.25">
      <c r="A30" s="423"/>
      <c r="B30" s="423"/>
      <c r="C30" s="423"/>
      <c r="D30" s="423"/>
      <c r="E30" s="423"/>
      <c r="F30" s="423"/>
      <c r="G30" s="423"/>
      <c r="H30" s="423"/>
      <c r="I30" s="423"/>
      <c r="J30" s="423"/>
      <c r="K30" s="423"/>
      <c r="L30" s="423"/>
      <c r="M30" s="423"/>
      <c r="N30" s="423"/>
      <c r="O30" s="423"/>
      <c r="P30" s="423"/>
      <c r="Q30" s="423"/>
      <c r="R30" s="423"/>
      <c r="S30" s="423"/>
      <c r="T30" s="423"/>
      <c r="U30" s="423"/>
      <c r="V30" s="423"/>
    </row>
    <row r="31" spans="1:22" x14ac:dyDescent="0.25">
      <c r="A31" s="423"/>
      <c r="B31" s="423"/>
      <c r="C31" s="423"/>
      <c r="D31" s="423"/>
      <c r="E31" s="423"/>
      <c r="F31" s="423"/>
      <c r="G31" s="423"/>
      <c r="H31" s="423"/>
      <c r="I31" s="423"/>
      <c r="J31" s="423"/>
      <c r="K31" s="423"/>
      <c r="L31" s="423"/>
      <c r="M31" s="423"/>
      <c r="N31" s="423"/>
      <c r="O31" s="423"/>
      <c r="P31" s="423"/>
      <c r="Q31" s="423"/>
      <c r="R31" s="423"/>
      <c r="S31" s="423"/>
      <c r="T31" s="423"/>
      <c r="U31" s="423"/>
      <c r="V31" s="423"/>
    </row>
    <row r="32" spans="1:22" x14ac:dyDescent="0.25">
      <c r="A32" s="424"/>
      <c r="B32" s="424"/>
      <c r="C32" s="424"/>
      <c r="D32" s="424"/>
      <c r="E32" s="424"/>
      <c r="F32" s="424"/>
      <c r="G32" s="424"/>
      <c r="H32" s="424"/>
      <c r="I32" s="424"/>
      <c r="J32" s="424"/>
      <c r="K32" s="424"/>
      <c r="L32" s="424"/>
      <c r="M32" s="424"/>
      <c r="N32" s="424"/>
      <c r="O32" s="424"/>
      <c r="P32" s="424"/>
      <c r="Q32" s="424"/>
      <c r="R32" s="424"/>
      <c r="S32" s="424"/>
      <c r="T32" s="424"/>
      <c r="U32" s="424"/>
      <c r="V32" s="424"/>
    </row>
    <row r="33" spans="1:20" ht="25.9" customHeight="1" x14ac:dyDescent="0.25">
      <c r="A33" s="425" t="s">
        <v>503</v>
      </c>
      <c r="B33" s="425"/>
      <c r="C33" s="425"/>
      <c r="D33" s="425"/>
      <c r="E33" s="425"/>
      <c r="F33" s="425"/>
      <c r="G33" s="425"/>
      <c r="H33" s="425"/>
      <c r="I33" s="425"/>
      <c r="J33" s="425"/>
      <c r="K33" s="425"/>
      <c r="L33" s="425"/>
      <c r="M33" s="425"/>
      <c r="N33" s="425"/>
      <c r="O33" s="425"/>
      <c r="P33" s="425"/>
      <c r="Q33" s="425"/>
      <c r="R33" s="425"/>
      <c r="S33" s="425"/>
      <c r="T33" s="425"/>
    </row>
    <row r="34" spans="1:20" x14ac:dyDescent="0.25">
      <c r="A34" s="425"/>
      <c r="B34" s="425"/>
      <c r="C34" s="425"/>
      <c r="D34" s="425"/>
      <c r="E34" s="425"/>
      <c r="F34" s="425"/>
      <c r="G34" s="425"/>
      <c r="H34" s="425"/>
      <c r="I34" s="425"/>
      <c r="J34" s="425"/>
      <c r="K34" s="425"/>
      <c r="L34" s="425"/>
      <c r="M34" s="425"/>
      <c r="N34" s="425"/>
      <c r="O34" s="425"/>
      <c r="P34" s="425"/>
      <c r="Q34" s="425"/>
      <c r="R34" s="425"/>
      <c r="S34" s="425"/>
      <c r="T34" s="425"/>
    </row>
    <row r="35" spans="1:20" x14ac:dyDescent="0.25">
      <c r="A35" s="425"/>
      <c r="B35" s="425"/>
      <c r="C35" s="425"/>
      <c r="D35" s="425"/>
      <c r="E35" s="425"/>
      <c r="F35" s="425"/>
      <c r="G35" s="425"/>
      <c r="H35" s="425"/>
      <c r="I35" s="425"/>
      <c r="J35" s="425"/>
      <c r="K35" s="425"/>
      <c r="L35" s="425"/>
      <c r="M35" s="425"/>
      <c r="N35" s="425"/>
      <c r="O35" s="425"/>
      <c r="P35" s="425"/>
      <c r="Q35" s="425"/>
      <c r="R35" s="425"/>
      <c r="S35" s="425"/>
      <c r="T35" s="425"/>
    </row>
    <row r="36" spans="1:20" x14ac:dyDescent="0.25">
      <c r="A36" s="425"/>
      <c r="B36" s="425"/>
      <c r="C36" s="425"/>
      <c r="D36" s="425"/>
      <c r="E36" s="425"/>
      <c r="F36" s="425"/>
      <c r="G36" s="425"/>
      <c r="H36" s="425"/>
      <c r="I36" s="425"/>
      <c r="J36" s="425"/>
      <c r="K36" s="425"/>
      <c r="L36" s="425"/>
      <c r="M36" s="425"/>
      <c r="N36" s="425"/>
      <c r="O36" s="425"/>
      <c r="P36" s="425"/>
      <c r="Q36" s="425"/>
      <c r="R36" s="425"/>
      <c r="S36" s="425"/>
      <c r="T36" s="425"/>
    </row>
    <row r="37" spans="1:20" x14ac:dyDescent="0.25">
      <c r="A37" s="425"/>
      <c r="B37" s="425"/>
      <c r="C37" s="425"/>
      <c r="D37" s="425"/>
      <c r="E37" s="425"/>
      <c r="F37" s="425"/>
      <c r="G37" s="425"/>
      <c r="H37" s="425"/>
      <c r="I37" s="425"/>
      <c r="J37" s="425"/>
      <c r="K37" s="425"/>
      <c r="L37" s="425"/>
      <c r="M37" s="425"/>
      <c r="N37" s="425"/>
      <c r="O37" s="425"/>
      <c r="P37" s="425"/>
      <c r="Q37" s="425"/>
      <c r="R37" s="425"/>
      <c r="S37" s="425"/>
      <c r="T37" s="425"/>
    </row>
    <row r="38" spans="1:20" x14ac:dyDescent="0.25">
      <c r="A38" s="425"/>
      <c r="B38" s="425"/>
      <c r="C38" s="425"/>
      <c r="D38" s="425"/>
      <c r="E38" s="425"/>
      <c r="F38" s="425"/>
      <c r="G38" s="425"/>
      <c r="H38" s="425"/>
      <c r="I38" s="425"/>
      <c r="J38" s="425"/>
      <c r="K38" s="425"/>
      <c r="L38" s="425"/>
      <c r="M38" s="425"/>
      <c r="N38" s="425"/>
      <c r="O38" s="425"/>
      <c r="P38" s="425"/>
      <c r="Q38" s="425"/>
      <c r="R38" s="425"/>
      <c r="S38" s="425"/>
      <c r="T38" s="425"/>
    </row>
    <row r="39" spans="1:20" x14ac:dyDescent="0.25">
      <c r="A39" s="425"/>
      <c r="B39" s="425"/>
      <c r="C39" s="425"/>
      <c r="D39" s="425"/>
      <c r="E39" s="425"/>
      <c r="F39" s="425"/>
      <c r="G39" s="425"/>
      <c r="H39" s="425"/>
      <c r="I39" s="425"/>
      <c r="J39" s="425"/>
      <c r="K39" s="425"/>
      <c r="L39" s="425"/>
      <c r="M39" s="425"/>
      <c r="N39" s="425"/>
      <c r="O39" s="425"/>
      <c r="P39" s="425"/>
      <c r="Q39" s="425"/>
      <c r="R39" s="425"/>
      <c r="S39" s="425"/>
      <c r="T39" s="425"/>
    </row>
    <row r="40" spans="1:20" x14ac:dyDescent="0.25">
      <c r="A40" s="425"/>
      <c r="B40" s="425"/>
      <c r="C40" s="425"/>
      <c r="D40" s="425"/>
      <c r="E40" s="425"/>
      <c r="F40" s="425"/>
      <c r="G40" s="425"/>
      <c r="H40" s="425"/>
      <c r="I40" s="425"/>
      <c r="J40" s="425"/>
      <c r="K40" s="425"/>
      <c r="L40" s="425"/>
      <c r="M40" s="425"/>
      <c r="N40" s="425"/>
      <c r="O40" s="425"/>
      <c r="P40" s="425"/>
      <c r="Q40" s="425"/>
      <c r="R40" s="425"/>
      <c r="S40" s="425"/>
      <c r="T40" s="425"/>
    </row>
    <row r="41" spans="1:20" x14ac:dyDescent="0.25">
      <c r="A41" s="425"/>
      <c r="B41" s="425"/>
      <c r="C41" s="425"/>
      <c r="D41" s="425"/>
      <c r="E41" s="425"/>
      <c r="F41" s="425"/>
      <c r="G41" s="425"/>
      <c r="H41" s="425"/>
      <c r="I41" s="425"/>
      <c r="J41" s="425"/>
      <c r="K41" s="425"/>
      <c r="L41" s="425"/>
      <c r="M41" s="425"/>
      <c r="N41" s="425"/>
      <c r="O41" s="425"/>
      <c r="P41" s="425"/>
      <c r="Q41" s="425"/>
      <c r="R41" s="425"/>
      <c r="S41" s="425"/>
      <c r="T41" s="425"/>
    </row>
    <row r="42" spans="1:20" x14ac:dyDescent="0.25">
      <c r="A42" s="425"/>
      <c r="B42" s="425"/>
      <c r="C42" s="425"/>
      <c r="D42" s="425"/>
      <c r="E42" s="425"/>
      <c r="F42" s="425"/>
      <c r="G42" s="425"/>
      <c r="H42" s="425"/>
      <c r="I42" s="425"/>
      <c r="J42" s="425"/>
      <c r="K42" s="425"/>
      <c r="L42" s="425"/>
      <c r="M42" s="425"/>
      <c r="N42" s="425"/>
      <c r="O42" s="425"/>
      <c r="P42" s="425"/>
      <c r="Q42" s="425"/>
      <c r="R42" s="425"/>
      <c r="S42" s="425"/>
      <c r="T42" s="425"/>
    </row>
    <row r="43" spans="1:20" x14ac:dyDescent="0.25">
      <c r="A43" s="425"/>
      <c r="B43" s="425"/>
      <c r="C43" s="425"/>
      <c r="D43" s="425"/>
      <c r="E43" s="425"/>
      <c r="F43" s="425"/>
      <c r="G43" s="425"/>
      <c r="H43" s="425"/>
      <c r="I43" s="425"/>
      <c r="J43" s="425"/>
      <c r="K43" s="425"/>
      <c r="L43" s="425"/>
      <c r="M43" s="425"/>
      <c r="N43" s="425"/>
      <c r="O43" s="425"/>
      <c r="P43" s="425"/>
      <c r="Q43" s="425"/>
      <c r="R43" s="425"/>
      <c r="S43" s="425"/>
      <c r="T43" s="425"/>
    </row>
    <row r="44" spans="1:20" x14ac:dyDescent="0.25">
      <c r="A44" s="425"/>
      <c r="B44" s="425"/>
      <c r="C44" s="425"/>
      <c r="D44" s="425"/>
      <c r="E44" s="425"/>
      <c r="F44" s="425"/>
      <c r="G44" s="425"/>
      <c r="H44" s="425"/>
      <c r="I44" s="425"/>
      <c r="J44" s="425"/>
      <c r="K44" s="425"/>
      <c r="L44" s="425"/>
      <c r="M44" s="425"/>
      <c r="N44" s="425"/>
      <c r="O44" s="425"/>
      <c r="P44" s="425"/>
      <c r="Q44" s="425"/>
      <c r="R44" s="425"/>
      <c r="S44" s="425"/>
      <c r="T44" s="425"/>
    </row>
    <row r="45" spans="1:20" x14ac:dyDescent="0.25">
      <c r="A45" s="425"/>
      <c r="B45" s="425"/>
      <c r="C45" s="425"/>
      <c r="D45" s="425"/>
      <c r="E45" s="425"/>
      <c r="F45" s="425"/>
      <c r="G45" s="425"/>
      <c r="H45" s="425"/>
      <c r="I45" s="425"/>
      <c r="J45" s="425"/>
      <c r="K45" s="425"/>
      <c r="L45" s="425"/>
      <c r="M45" s="425"/>
      <c r="N45" s="425"/>
      <c r="O45" s="425"/>
      <c r="P45" s="425"/>
      <c r="Q45" s="425"/>
      <c r="R45" s="425"/>
      <c r="S45" s="425"/>
      <c r="T45" s="425"/>
    </row>
    <row r="46" spans="1:20" x14ac:dyDescent="0.25">
      <c r="A46" s="425"/>
      <c r="B46" s="425"/>
      <c r="C46" s="425"/>
      <c r="D46" s="425"/>
      <c r="E46" s="425"/>
      <c r="F46" s="425"/>
      <c r="G46" s="425"/>
      <c r="H46" s="425"/>
      <c r="I46" s="425"/>
      <c r="J46" s="425"/>
      <c r="K46" s="425"/>
      <c r="L46" s="425"/>
      <c r="M46" s="425"/>
      <c r="N46" s="425"/>
      <c r="O46" s="425"/>
      <c r="P46" s="425"/>
      <c r="Q46" s="425"/>
      <c r="R46" s="425"/>
      <c r="S46" s="425"/>
      <c r="T46" s="425"/>
    </row>
    <row r="47" spans="1:20" x14ac:dyDescent="0.25">
      <c r="A47" s="425"/>
      <c r="B47" s="425"/>
      <c r="C47" s="425"/>
      <c r="D47" s="425"/>
      <c r="E47" s="425"/>
      <c r="F47" s="425"/>
      <c r="G47" s="425"/>
      <c r="H47" s="425"/>
      <c r="I47" s="425"/>
      <c r="J47" s="425"/>
      <c r="K47" s="425"/>
      <c r="L47" s="425"/>
      <c r="M47" s="425"/>
      <c r="N47" s="425"/>
      <c r="O47" s="425"/>
      <c r="P47" s="425"/>
      <c r="Q47" s="425"/>
      <c r="R47" s="425"/>
      <c r="S47" s="425"/>
      <c r="T47" s="425"/>
    </row>
    <row r="48" spans="1:20" x14ac:dyDescent="0.25">
      <c r="A48" s="425"/>
      <c r="B48" s="425"/>
      <c r="C48" s="425"/>
      <c r="D48" s="425"/>
      <c r="E48" s="425"/>
      <c r="F48" s="425"/>
      <c r="G48" s="425"/>
      <c r="H48" s="425"/>
      <c r="I48" s="425"/>
      <c r="J48" s="425"/>
      <c r="K48" s="425"/>
      <c r="L48" s="425"/>
      <c r="M48" s="425"/>
      <c r="N48" s="425"/>
      <c r="O48" s="425"/>
      <c r="P48" s="425"/>
      <c r="Q48" s="425"/>
      <c r="R48" s="425"/>
      <c r="S48" s="425"/>
      <c r="T48" s="425"/>
    </row>
    <row r="49" spans="1:20" x14ac:dyDescent="0.25">
      <c r="A49" s="425"/>
      <c r="B49" s="425"/>
      <c r="C49" s="425"/>
      <c r="D49" s="425"/>
      <c r="E49" s="425"/>
      <c r="F49" s="425"/>
      <c r="G49" s="425"/>
      <c r="H49" s="425"/>
      <c r="I49" s="425"/>
      <c r="J49" s="425"/>
      <c r="K49" s="425"/>
      <c r="L49" s="425"/>
      <c r="M49" s="425"/>
      <c r="N49" s="425"/>
      <c r="O49" s="425"/>
      <c r="P49" s="425"/>
      <c r="Q49" s="425"/>
      <c r="R49" s="425"/>
      <c r="S49" s="425"/>
      <c r="T49" s="425"/>
    </row>
    <row r="50" spans="1:20" ht="87" customHeight="1" x14ac:dyDescent="0.25">
      <c r="A50" s="425"/>
      <c r="B50" s="425"/>
      <c r="C50" s="425"/>
      <c r="D50" s="425"/>
      <c r="E50" s="425"/>
      <c r="F50" s="425"/>
      <c r="G50" s="425"/>
      <c r="H50" s="425"/>
      <c r="I50" s="425"/>
      <c r="J50" s="425"/>
      <c r="K50" s="425"/>
      <c r="L50" s="425"/>
      <c r="M50" s="425"/>
      <c r="N50" s="425"/>
      <c r="O50" s="425"/>
      <c r="P50" s="425"/>
      <c r="Q50" s="425"/>
      <c r="R50" s="425"/>
      <c r="S50" s="425"/>
      <c r="T50" s="425"/>
    </row>
    <row r="51" spans="1:20" ht="15.75" x14ac:dyDescent="0.25">
      <c r="A51" s="392"/>
      <c r="B51" s="392"/>
      <c r="C51" s="426" t="s">
        <v>91</v>
      </c>
      <c r="D51" s="426"/>
      <c r="E51" s="426"/>
      <c r="F51" s="426"/>
      <c r="G51" s="426"/>
      <c r="H51" s="426"/>
      <c r="I51" s="426"/>
      <c r="J51" s="426"/>
      <c r="K51" s="426"/>
      <c r="L51" s="426"/>
      <c r="M51" s="426"/>
      <c r="N51" s="426"/>
      <c r="O51" s="392"/>
      <c r="P51" s="392"/>
      <c r="Q51" s="392"/>
      <c r="R51" s="392"/>
      <c r="S51" s="392"/>
      <c r="T51" s="392"/>
    </row>
    <row r="52" spans="1:20" ht="15.75" x14ac:dyDescent="0.25">
      <c r="A52" s="392"/>
      <c r="B52" s="392"/>
      <c r="C52" s="426"/>
      <c r="D52" s="426"/>
      <c r="E52" s="426"/>
      <c r="F52" s="426"/>
      <c r="G52" s="426"/>
      <c r="H52" s="426"/>
      <c r="I52" s="426"/>
      <c r="J52" s="426"/>
      <c r="K52" s="426"/>
      <c r="L52" s="426"/>
      <c r="M52" s="426"/>
      <c r="N52" s="426"/>
      <c r="O52" s="392"/>
      <c r="P52" s="392"/>
      <c r="Q52" s="392"/>
      <c r="R52" s="392"/>
      <c r="S52" s="392"/>
      <c r="T52" s="392"/>
    </row>
    <row r="53" spans="1:20" ht="15.75" x14ac:dyDescent="0.25">
      <c r="A53" s="392"/>
      <c r="B53" s="392"/>
      <c r="C53" s="426"/>
      <c r="D53" s="426"/>
      <c r="E53" s="426"/>
      <c r="F53" s="426"/>
      <c r="G53" s="426"/>
      <c r="H53" s="426"/>
      <c r="I53" s="426"/>
      <c r="J53" s="426"/>
      <c r="K53" s="426"/>
      <c r="L53" s="426"/>
      <c r="M53" s="426"/>
      <c r="N53" s="426"/>
      <c r="O53" s="392"/>
      <c r="P53" s="392"/>
      <c r="Q53" s="392"/>
      <c r="R53" s="392"/>
      <c r="S53" s="392"/>
      <c r="T53" s="392"/>
    </row>
    <row r="54" spans="1:20" ht="15.75" x14ac:dyDescent="0.25">
      <c r="A54" s="392"/>
      <c r="B54" s="392"/>
      <c r="C54" s="426"/>
      <c r="D54" s="426"/>
      <c r="E54" s="426"/>
      <c r="F54" s="426"/>
      <c r="G54" s="426"/>
      <c r="H54" s="426"/>
      <c r="I54" s="426"/>
      <c r="J54" s="426"/>
      <c r="K54" s="426"/>
      <c r="L54" s="426"/>
      <c r="M54" s="426"/>
      <c r="N54" s="426"/>
      <c r="O54" s="392"/>
      <c r="P54" s="392"/>
      <c r="Q54" s="392"/>
      <c r="R54" s="392"/>
      <c r="S54" s="392"/>
      <c r="T54" s="392"/>
    </row>
    <row r="55" spans="1:20" ht="15.75" x14ac:dyDescent="0.25">
      <c r="A55" s="392"/>
      <c r="B55" s="392"/>
      <c r="C55" s="426"/>
      <c r="D55" s="426"/>
      <c r="E55" s="426"/>
      <c r="F55" s="426"/>
      <c r="G55" s="426"/>
      <c r="H55" s="426"/>
      <c r="I55" s="426"/>
      <c r="J55" s="426"/>
      <c r="K55" s="426"/>
      <c r="L55" s="426"/>
      <c r="M55" s="426"/>
      <c r="N55" s="426"/>
      <c r="O55" s="392"/>
      <c r="P55" s="392"/>
      <c r="Q55" s="392"/>
      <c r="R55" s="392"/>
      <c r="S55" s="392"/>
      <c r="T55" s="392"/>
    </row>
    <row r="56" spans="1:20" ht="15" customHeight="1" x14ac:dyDescent="0.25">
      <c r="A56" s="422"/>
      <c r="B56" s="422"/>
      <c r="C56" s="426"/>
      <c r="D56" s="426"/>
      <c r="E56" s="426"/>
      <c r="F56" s="426"/>
      <c r="G56" s="426"/>
      <c r="H56" s="426"/>
      <c r="I56" s="426"/>
      <c r="J56" s="426"/>
      <c r="K56" s="426"/>
      <c r="L56" s="426"/>
      <c r="M56" s="426"/>
      <c r="N56" s="426"/>
    </row>
    <row r="57" spans="1:20" ht="15" customHeight="1" x14ac:dyDescent="0.25">
      <c r="A57" s="422"/>
      <c r="B57" s="422"/>
      <c r="C57" s="426"/>
      <c r="D57" s="426"/>
      <c r="E57" s="426"/>
      <c r="F57" s="426"/>
      <c r="G57" s="426"/>
      <c r="H57" s="426"/>
      <c r="I57" s="426"/>
      <c r="J57" s="426"/>
      <c r="K57" s="426"/>
      <c r="L57" s="426"/>
      <c r="M57" s="426"/>
      <c r="N57" s="426"/>
    </row>
    <row r="58" spans="1:20" ht="15" customHeight="1" x14ac:dyDescent="0.25">
      <c r="A58" s="422"/>
      <c r="B58" s="422"/>
      <c r="C58" s="426"/>
      <c r="D58" s="426"/>
      <c r="E58" s="426"/>
      <c r="F58" s="426"/>
      <c r="G58" s="426"/>
      <c r="H58" s="426"/>
      <c r="I58" s="426"/>
      <c r="J58" s="426"/>
      <c r="K58" s="426"/>
      <c r="L58" s="426"/>
      <c r="M58" s="426"/>
      <c r="N58" s="426"/>
    </row>
    <row r="59" spans="1:20" ht="15" customHeight="1" x14ac:dyDescent="0.25">
      <c r="A59" s="422"/>
      <c r="B59" s="422"/>
      <c r="C59" s="426"/>
      <c r="D59" s="426"/>
      <c r="E59" s="426"/>
      <c r="F59" s="426"/>
      <c r="G59" s="426"/>
      <c r="H59" s="426"/>
      <c r="I59" s="426"/>
      <c r="J59" s="426"/>
      <c r="K59" s="426"/>
      <c r="L59" s="426"/>
      <c r="M59" s="426"/>
      <c r="N59" s="426"/>
    </row>
    <row r="60" spans="1:20" ht="15" customHeight="1" x14ac:dyDescent="0.25">
      <c r="A60" s="422"/>
      <c r="B60" s="422"/>
      <c r="C60" s="426"/>
      <c r="D60" s="426"/>
      <c r="E60" s="426"/>
      <c r="F60" s="426"/>
      <c r="G60" s="426"/>
      <c r="H60" s="426"/>
      <c r="I60" s="426"/>
      <c r="J60" s="426"/>
      <c r="K60" s="426"/>
      <c r="L60" s="426"/>
      <c r="M60" s="426"/>
      <c r="N60" s="426"/>
    </row>
    <row r="61" spans="1:20" ht="15" customHeight="1" x14ac:dyDescent="0.25">
      <c r="A61" s="422"/>
      <c r="B61" s="422"/>
      <c r="C61" s="426"/>
      <c r="D61" s="426"/>
      <c r="E61" s="426"/>
      <c r="F61" s="426"/>
      <c r="G61" s="426"/>
      <c r="H61" s="426"/>
      <c r="I61" s="426"/>
      <c r="J61" s="426"/>
      <c r="K61" s="426"/>
      <c r="L61" s="426"/>
      <c r="M61" s="426"/>
      <c r="N61" s="426"/>
    </row>
    <row r="62" spans="1:20" ht="15" customHeight="1" x14ac:dyDescent="0.25">
      <c r="A62" s="393"/>
      <c r="B62" s="393"/>
      <c r="C62" s="426"/>
      <c r="D62" s="426"/>
      <c r="E62" s="426"/>
      <c r="F62" s="426"/>
      <c r="G62" s="426"/>
      <c r="H62" s="426"/>
      <c r="I62" s="426"/>
      <c r="J62" s="426"/>
      <c r="K62" s="426"/>
      <c r="L62" s="426"/>
      <c r="M62" s="426"/>
      <c r="N62" s="426"/>
    </row>
  </sheetData>
  <sheetProtection password="C441" sheet="1" objects="1" scenarios="1"/>
  <mergeCells count="4">
    <mergeCell ref="A56:B61"/>
    <mergeCell ref="A1:V32"/>
    <mergeCell ref="A33:T50"/>
    <mergeCell ref="C51:N6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200"/>
  <sheetViews>
    <sheetView showGridLines="0" workbookViewId="0">
      <selection activeCell="E2" sqref="E2"/>
    </sheetView>
  </sheetViews>
  <sheetFormatPr defaultRowHeight="15" x14ac:dyDescent="0.25"/>
  <cols>
    <col min="1" max="1" width="4.7109375" style="113" customWidth="1"/>
    <col min="2" max="2" width="48.42578125" style="120" customWidth="1"/>
    <col min="3" max="19" width="15.7109375" style="120" customWidth="1"/>
    <col min="20" max="256" width="8.8554687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8.8554687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8.8554687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8.8554687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8.8554687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8.8554687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8.8554687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8.8554687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8.8554687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8.8554687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8.8554687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8.8554687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8.8554687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8.8554687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8.8554687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8.8554687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8.8554687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8.8554687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8.8554687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8.8554687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8.8554687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8.8554687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8.8554687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8.8554687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8.8554687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8.8554687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8.8554687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8.8554687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8.8554687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8.8554687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8.8554687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8.8554687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8.8554687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8.8554687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8.8554687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8.8554687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8.8554687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8.8554687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8.8554687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8.8554687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8.8554687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8.8554687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8.8554687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8.8554687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8.8554687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8.8554687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8.8554687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8.8554687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8.8554687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8.8554687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8.8554687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8.8554687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8.8554687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8.8554687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8.8554687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8.8554687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8.8554687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8.8554687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8.8554687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8.8554687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8.8554687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8.8554687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8.8554687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8.8554687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ht="15.75" thickBot="1" x14ac:dyDescent="0.3">
      <c r="A5" s="119"/>
      <c r="B5" s="110"/>
      <c r="C5" s="211"/>
      <c r="D5" s="211"/>
      <c r="E5" s="212"/>
      <c r="F5" s="111"/>
      <c r="G5" s="111"/>
      <c r="H5" s="111"/>
      <c r="I5" s="111"/>
      <c r="J5" s="119"/>
      <c r="K5" s="119"/>
      <c r="L5" s="119"/>
      <c r="M5" s="119"/>
      <c r="N5" s="119"/>
      <c r="O5" s="119"/>
      <c r="P5" s="119"/>
    </row>
    <row r="6" spans="1:49" s="112" customFormat="1" ht="22.9" customHeight="1" thickBot="1" x14ac:dyDescent="0.3">
      <c r="B6" s="479" t="s">
        <v>378</v>
      </c>
      <c r="C6" s="479"/>
      <c r="D6" s="479"/>
      <c r="E6" s="479"/>
      <c r="F6" s="479"/>
      <c r="G6" s="479"/>
      <c r="H6" s="479"/>
      <c r="I6" s="479"/>
      <c r="J6" s="479"/>
      <c r="K6" s="479"/>
      <c r="L6" s="273"/>
      <c r="M6" s="119"/>
      <c r="N6" s="119"/>
      <c r="O6" s="119"/>
    </row>
    <row r="7" spans="1:49" s="112" customFormat="1" ht="18.600000000000001" customHeight="1" x14ac:dyDescent="0.25">
      <c r="B7" s="482" t="s">
        <v>222</v>
      </c>
      <c r="C7" s="480" t="s">
        <v>70</v>
      </c>
      <c r="D7" s="481"/>
      <c r="E7" s="484" t="s">
        <v>379</v>
      </c>
      <c r="F7" s="485"/>
      <c r="G7" s="480" t="s">
        <v>223</v>
      </c>
      <c r="H7" s="481"/>
      <c r="I7" s="480" t="s">
        <v>224</v>
      </c>
      <c r="J7" s="481"/>
      <c r="K7" s="274" t="s">
        <v>321</v>
      </c>
      <c r="L7" s="275" t="s">
        <v>321</v>
      </c>
      <c r="M7" s="119"/>
      <c r="N7" s="119"/>
      <c r="O7" s="119"/>
      <c r="P7" s="119"/>
      <c r="Q7" s="119"/>
      <c r="R7" s="119"/>
      <c r="S7" s="119"/>
    </row>
    <row r="8" spans="1:49" s="112" customFormat="1" ht="30" x14ac:dyDescent="0.25">
      <c r="B8" s="483"/>
      <c r="C8" s="276" t="s">
        <v>377</v>
      </c>
      <c r="D8" s="277" t="s">
        <v>376</v>
      </c>
      <c r="E8" s="276" t="s">
        <v>377</v>
      </c>
      <c r="F8" s="277" t="s">
        <v>376</v>
      </c>
      <c r="G8" s="276" t="s">
        <v>377</v>
      </c>
      <c r="H8" s="277" t="s">
        <v>376</v>
      </c>
      <c r="I8" s="276" t="s">
        <v>377</v>
      </c>
      <c r="J8" s="277" t="s">
        <v>376</v>
      </c>
      <c r="K8" s="278" t="s">
        <v>377</v>
      </c>
      <c r="L8" s="279" t="s">
        <v>376</v>
      </c>
      <c r="M8" s="109"/>
      <c r="N8" s="119"/>
      <c r="O8" s="119"/>
      <c r="P8" s="119"/>
      <c r="Q8" s="119"/>
      <c r="R8" s="119"/>
      <c r="S8" s="119"/>
      <c r="T8" s="119"/>
    </row>
    <row r="9" spans="1:49" s="112" customFormat="1" x14ac:dyDescent="0.25">
      <c r="B9" s="219" t="str">
        <f>'Set up'!B18</f>
        <v>Abbott M2000 RealTime</v>
      </c>
      <c r="C9" s="350">
        <f>SUM(C29:C36)</f>
        <v>0</v>
      </c>
      <c r="D9" s="350">
        <f>SUM(C120:C127)</f>
        <v>0.4838709677419355</v>
      </c>
      <c r="E9" s="350">
        <f>SUM(J$41:J$49)</f>
        <v>0</v>
      </c>
      <c r="F9" s="350">
        <f>SUM(J132:J140)</f>
        <v>0</v>
      </c>
      <c r="G9" s="350">
        <f>SUM(C$63:C$70)</f>
        <v>0</v>
      </c>
      <c r="H9" s="350">
        <f>SUM(C$153:C$160)</f>
        <v>4.1935483870967748E-3</v>
      </c>
      <c r="I9" s="364">
        <f>SUM(C$90:C$103)</f>
        <v>0</v>
      </c>
      <c r="J9" s="365">
        <f>SUM(C$182:C$187)</f>
        <v>2.0780978235902768E-2</v>
      </c>
      <c r="K9" s="366">
        <f>SUM(C9,E9,G9,I9)</f>
        <v>0</v>
      </c>
      <c r="L9" s="336">
        <f>SUM(D9,F9,H9,J9)</f>
        <v>0.50884549436493509</v>
      </c>
      <c r="M9" s="109"/>
      <c r="N9" s="119"/>
      <c r="O9" s="119"/>
      <c r="P9" s="119"/>
      <c r="Q9" s="119"/>
      <c r="R9" s="119"/>
      <c r="S9" s="119"/>
      <c r="T9" s="119"/>
    </row>
    <row r="10" spans="1:49" s="112" customFormat="1" x14ac:dyDescent="0.25">
      <c r="B10" s="219" t="str">
        <f>'Set up'!B19</f>
        <v>Abbott M2000 RealTime</v>
      </c>
      <c r="C10" s="350">
        <f>SUM(D29:D36)</f>
        <v>0</v>
      </c>
      <c r="D10" s="350">
        <f>SUM(D120:D127)</f>
        <v>0.4838709677419355</v>
      </c>
      <c r="E10" s="350">
        <f>SUM(K$41:K$49)</f>
        <v>0</v>
      </c>
      <c r="F10" s="367">
        <f>SUM(K$132:K$140)</f>
        <v>0</v>
      </c>
      <c r="G10" s="350">
        <f>SUM(D$63:D$70)</f>
        <v>0</v>
      </c>
      <c r="H10" s="350">
        <f>SUM(D$153:D$160)</f>
        <v>4.1935483870967748E-3</v>
      </c>
      <c r="I10" s="364">
        <f>SUM(D$90:D$103)</f>
        <v>0</v>
      </c>
      <c r="J10" s="365">
        <f>SUM(D$182:D$187)</f>
        <v>2.0780978235902768E-2</v>
      </c>
      <c r="K10" s="366">
        <f t="shared" ref="K10:K12" si="0">SUM(C10,E10,G10,I10)</f>
        <v>0</v>
      </c>
      <c r="L10" s="336">
        <f t="shared" ref="L10:L12" si="1">SUM(D10,F10,H10,J10)</f>
        <v>0.50884549436493509</v>
      </c>
      <c r="M10" s="111"/>
      <c r="N10" s="119"/>
      <c r="O10" s="119"/>
      <c r="P10" s="119"/>
      <c r="Q10" s="119"/>
      <c r="R10" s="119"/>
      <c r="S10" s="119"/>
      <c r="T10" s="119"/>
    </row>
    <row r="11" spans="1:49" s="112" customFormat="1" x14ac:dyDescent="0.25">
      <c r="B11" s="219" t="str">
        <f>'Set up'!B20</f>
        <v>Roche COBAS Ampliprep/TaqMan 48</v>
      </c>
      <c r="C11" s="368">
        <f>SUM(E$29:E$36)</f>
        <v>0</v>
      </c>
      <c r="D11" s="350">
        <f>SUM(E120:E127)</f>
        <v>0.5357142857142857</v>
      </c>
      <c r="E11" s="350">
        <f>SUM(L$41:L$49)</f>
        <v>0</v>
      </c>
      <c r="F11" s="367">
        <f>SUM(L$132:L$140)</f>
        <v>0</v>
      </c>
      <c r="G11" s="350">
        <f>SUM(E$63:E$70)</f>
        <v>0</v>
      </c>
      <c r="H11" s="350">
        <f>SUM(E$153:E$160)</f>
        <v>4.642857142857143E-3</v>
      </c>
      <c r="I11" s="364">
        <f>SUM(E$90:E$103)</f>
        <v>0</v>
      </c>
      <c r="J11" s="365">
        <f>SUM(E$182:E$187)</f>
        <v>2.0780978235902768E-2</v>
      </c>
      <c r="K11" s="366">
        <f t="shared" si="0"/>
        <v>0</v>
      </c>
      <c r="L11" s="336">
        <f t="shared" si="1"/>
        <v>0.56113812109304562</v>
      </c>
      <c r="M11" s="111"/>
      <c r="N11" s="119"/>
      <c r="O11" s="119"/>
      <c r="P11" s="119"/>
      <c r="Q11" s="119"/>
      <c r="R11" s="119"/>
      <c r="S11" s="119"/>
      <c r="T11" s="119"/>
    </row>
    <row r="12" spans="1:49" s="112" customFormat="1" x14ac:dyDescent="0.25">
      <c r="B12" s="219" t="str">
        <f>'Set up'!B21</f>
        <v>Roche COBAS Ampliprep/TaqMan 48</v>
      </c>
      <c r="C12" s="368">
        <f>SUM(F$29:F$36)</f>
        <v>0</v>
      </c>
      <c r="D12" s="350">
        <f>SUM(F$120:F$127)</f>
        <v>0.5357142857142857</v>
      </c>
      <c r="E12" s="350">
        <f>SUM(M$41:M$49)</f>
        <v>0</v>
      </c>
      <c r="F12" s="367">
        <f>SUM(M$132:M$140)</f>
        <v>0</v>
      </c>
      <c r="G12" s="350">
        <f>SUM(F$63:F$70)</f>
        <v>0</v>
      </c>
      <c r="H12" s="350">
        <f>SUM(F$153:F$160)</f>
        <v>4.642857142857143E-3</v>
      </c>
      <c r="I12" s="364">
        <f>SUM(F$90:F$103)</f>
        <v>0</v>
      </c>
      <c r="J12" s="365">
        <f>SUM(F$182:F$187)</f>
        <v>2.0780978235902768E-2</v>
      </c>
      <c r="K12" s="366">
        <f t="shared" si="0"/>
        <v>0</v>
      </c>
      <c r="L12" s="336">
        <f t="shared" si="1"/>
        <v>0.56113812109304562</v>
      </c>
      <c r="M12" s="111"/>
      <c r="N12" s="119"/>
      <c r="O12" s="119"/>
      <c r="P12" s="119"/>
      <c r="Q12" s="119"/>
      <c r="R12" s="119"/>
      <c r="S12" s="119"/>
      <c r="T12" s="119"/>
    </row>
    <row r="13" spans="1:49" s="112" customFormat="1" x14ac:dyDescent="0.25">
      <c r="L13" s="111"/>
      <c r="M13" s="119"/>
      <c r="N13" s="119"/>
      <c r="O13" s="119"/>
      <c r="P13" s="119"/>
      <c r="Q13" s="119"/>
      <c r="R13" s="119"/>
      <c r="S13" s="119"/>
    </row>
    <row r="14" spans="1:49" s="112" customFormat="1" ht="20.45" customHeight="1" x14ac:dyDescent="0.25">
      <c r="B14" s="211"/>
      <c r="C14" s="211"/>
      <c r="D14" s="211"/>
      <c r="E14" s="220"/>
      <c r="F14" s="111"/>
      <c r="G14" s="111"/>
      <c r="H14" s="111"/>
      <c r="I14" s="165"/>
      <c r="J14" s="165"/>
      <c r="K14" s="165"/>
      <c r="L14" s="165"/>
      <c r="M14" s="207"/>
      <c r="N14" s="207"/>
      <c r="O14" s="207"/>
      <c r="P14" s="207"/>
    </row>
    <row r="15" spans="1:49" s="112" customFormat="1" ht="22.9" customHeight="1" x14ac:dyDescent="0.25">
      <c r="B15" s="445" t="s">
        <v>354</v>
      </c>
      <c r="C15" s="445"/>
      <c r="D15" s="445"/>
      <c r="E15" s="445"/>
      <c r="F15" s="445"/>
      <c r="G15" s="445"/>
      <c r="H15" s="445"/>
      <c r="I15" s="445"/>
      <c r="J15" s="445"/>
      <c r="K15" s="445"/>
      <c r="L15" s="445"/>
      <c r="M15" s="119"/>
      <c r="N15" s="119"/>
      <c r="O15" s="119"/>
      <c r="P15" s="119"/>
    </row>
    <row r="16" spans="1:49" s="112" customFormat="1" x14ac:dyDescent="0.25">
      <c r="B16" s="211"/>
      <c r="C16" s="211"/>
      <c r="D16" s="211"/>
      <c r="E16" s="220"/>
      <c r="F16" s="111"/>
      <c r="G16" s="111"/>
      <c r="H16" s="111"/>
      <c r="I16" s="111"/>
      <c r="J16" s="119"/>
      <c r="K16" s="119"/>
      <c r="L16" s="119"/>
      <c r="M16" s="280"/>
      <c r="N16" s="280"/>
    </row>
    <row r="17" spans="1:46" s="228" customFormat="1" ht="22.9" customHeight="1" x14ac:dyDescent="0.25">
      <c r="A17" s="224"/>
      <c r="B17" s="221" t="s">
        <v>226</v>
      </c>
      <c r="C17" s="222"/>
      <c r="D17" s="223"/>
      <c r="E17" s="223"/>
      <c r="F17" s="112"/>
      <c r="G17" s="112"/>
      <c r="H17" s="280"/>
      <c r="I17" s="280"/>
      <c r="J17" s="280"/>
      <c r="K17" s="280"/>
      <c r="L17" s="280"/>
      <c r="M17" s="227"/>
      <c r="N17" s="227"/>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row>
    <row r="18" spans="1:46" ht="45" x14ac:dyDescent="0.25">
      <c r="B18" s="225" t="s">
        <v>319</v>
      </c>
      <c r="C18" s="245" t="str">
        <f>'Set up'!B18</f>
        <v>Abbott M2000 RealTime</v>
      </c>
      <c r="D18" s="245" t="str">
        <f>'Set up'!B19</f>
        <v>Abbott M2000 RealTime</v>
      </c>
      <c r="E18" s="245" t="str">
        <f>'Set up'!B20</f>
        <v>Roche COBAS Ampliprep/TaqMan 48</v>
      </c>
      <c r="F18" s="245" t="str">
        <f>'Set up'!B21</f>
        <v>Roche COBAS Ampliprep/TaqMan 48</v>
      </c>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row>
    <row r="19" spans="1:46" x14ac:dyDescent="0.25">
      <c r="B19" s="62" t="s">
        <v>100</v>
      </c>
      <c r="C19" s="11"/>
      <c r="D19" s="11"/>
      <c r="E19" s="11"/>
      <c r="F19" s="11"/>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row>
    <row r="20" spans="1:46" x14ac:dyDescent="0.25">
      <c r="B20" s="62" t="s">
        <v>100</v>
      </c>
      <c r="C20" s="11"/>
      <c r="D20" s="11"/>
      <c r="E20" s="11"/>
      <c r="F20" s="11"/>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row>
    <row r="21" spans="1:46" x14ac:dyDescent="0.25">
      <c r="B21" s="62" t="s">
        <v>100</v>
      </c>
      <c r="C21" s="11"/>
      <c r="D21" s="11"/>
      <c r="E21" s="11"/>
      <c r="F21" s="11"/>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row>
    <row r="22" spans="1:46" x14ac:dyDescent="0.25">
      <c r="B22" s="62" t="s">
        <v>100</v>
      </c>
      <c r="C22" s="11"/>
      <c r="D22" s="11"/>
      <c r="E22" s="11"/>
      <c r="F22" s="11"/>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row>
    <row r="23" spans="1:46" x14ac:dyDescent="0.25">
      <c r="B23" s="62" t="s">
        <v>100</v>
      </c>
      <c r="C23" s="11"/>
      <c r="D23" s="11"/>
      <c r="E23" s="11"/>
      <c r="F23" s="11"/>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row>
    <row r="24" spans="1:46" x14ac:dyDescent="0.25">
      <c r="B24" s="62" t="s">
        <v>100</v>
      </c>
      <c r="C24" s="11"/>
      <c r="D24" s="11"/>
      <c r="E24" s="11"/>
      <c r="F24" s="11"/>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row>
    <row r="25" spans="1:46" x14ac:dyDescent="0.25">
      <c r="B25" s="62" t="s">
        <v>100</v>
      </c>
      <c r="C25" s="11"/>
      <c r="D25" s="11"/>
      <c r="E25" s="11"/>
      <c r="F25" s="11"/>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row>
    <row r="26" spans="1:46" x14ac:dyDescent="0.25">
      <c r="B26" s="62" t="s">
        <v>100</v>
      </c>
      <c r="C26" s="11"/>
      <c r="D26" s="11"/>
      <c r="E26" s="11"/>
      <c r="F26" s="11"/>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row>
    <row r="27" spans="1:46" x14ac:dyDescent="0.25">
      <c r="B27" s="55"/>
      <c r="C27" s="56"/>
      <c r="D27" s="56"/>
      <c r="E27" s="56"/>
      <c r="F27" s="56"/>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row>
    <row r="28" spans="1:46" x14ac:dyDescent="0.25">
      <c r="B28" s="221" t="s">
        <v>506</v>
      </c>
      <c r="C28" s="56"/>
      <c r="D28" s="56"/>
      <c r="E28" s="56"/>
      <c r="F28" s="56"/>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row>
    <row r="29" spans="1:46" x14ac:dyDescent="0.25">
      <c r="B29" s="10" t="str">
        <f t="shared" ref="B29:B36" si="2">B19</f>
        <v>Other personnel</v>
      </c>
      <c r="C29" s="369">
        <f>IFERROR((((VLOOKUP($B29,'Unit costs'!$B$25:$I$66,8,FALSE))*C19/60))/'Set up'!$C$18,"")</f>
        <v>0</v>
      </c>
      <c r="D29" s="369">
        <f>IFERROR((((VLOOKUP($B29,'Unit costs'!$B$25:$I$66,8,FALSE))*D19/60))/'Set up'!$C$19,"")</f>
        <v>0</v>
      </c>
      <c r="E29" s="369">
        <f>IFERROR((((VLOOKUP($B29,'Unit costs'!$B$25:$I$66,8,FALSE))*E19/60))/'Set up'!$C$20,"")</f>
        <v>0</v>
      </c>
      <c r="F29" s="369">
        <f>IFERROR((((VLOOKUP($B29,'Unit costs'!$B$25:$I$66,8,FALSE))*F19/60))/'Set up'!$C$21,"")</f>
        <v>0</v>
      </c>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row>
    <row r="30" spans="1:46" x14ac:dyDescent="0.25">
      <c r="B30" s="10" t="str">
        <f t="shared" si="2"/>
        <v>Other personnel</v>
      </c>
      <c r="C30" s="369">
        <f>IFERROR((((VLOOKUP($B30,'Unit costs'!$B$25:$I$66,8,FALSE))*C20/60))/'Set up'!$C$18,"")</f>
        <v>0</v>
      </c>
      <c r="D30" s="369">
        <f>IFERROR((((VLOOKUP($B30,'Unit costs'!$B$25:$I$66,8,FALSE))*D20/60))/'Set up'!$C$19,"")</f>
        <v>0</v>
      </c>
      <c r="E30" s="369">
        <f>IFERROR((((VLOOKUP($B30,'Unit costs'!$B$25:$I$66,8,FALSE))*E20/60))/'Set up'!$C$20,"")</f>
        <v>0</v>
      </c>
      <c r="F30" s="369">
        <f>IFERROR((((VLOOKUP($B30,'Unit costs'!$B$25:$I$66,8,FALSE))*F20/60))/'Set up'!$C$21,"")</f>
        <v>0</v>
      </c>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row>
    <row r="31" spans="1:46" x14ac:dyDescent="0.25">
      <c r="B31" s="10" t="str">
        <f t="shared" si="2"/>
        <v>Other personnel</v>
      </c>
      <c r="C31" s="369">
        <f>IFERROR((((VLOOKUP($B31,'Unit costs'!$B$25:$I$66,8,FALSE))*C21/60))/'Set up'!$C$18,"")</f>
        <v>0</v>
      </c>
      <c r="D31" s="369">
        <f>IFERROR((((VLOOKUP($B31,'Unit costs'!$B$25:$I$66,8,FALSE))*D21/60))/'Set up'!$C$19,"")</f>
        <v>0</v>
      </c>
      <c r="E31" s="369">
        <f>IFERROR((((VLOOKUP($B31,'Unit costs'!$B$25:$I$66,8,FALSE))*E21/60))/'Set up'!$C$20,"")</f>
        <v>0</v>
      </c>
      <c r="F31" s="369">
        <f>IFERROR((((VLOOKUP($B31,'Unit costs'!$B$25:$I$66,8,FALSE))*F21/60))/'Set up'!$C$21,"")</f>
        <v>0</v>
      </c>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row>
    <row r="32" spans="1:46" x14ac:dyDescent="0.25">
      <c r="B32" s="10" t="str">
        <f t="shared" si="2"/>
        <v>Other personnel</v>
      </c>
      <c r="C32" s="369">
        <f>IFERROR((((VLOOKUP($B32,'Unit costs'!$B$25:$I$66,8,FALSE))*C22/60))/'Set up'!$C$18,"")</f>
        <v>0</v>
      </c>
      <c r="D32" s="369">
        <f>IFERROR((((VLOOKUP($B32,'Unit costs'!$B$25:$I$66,8,FALSE))*D22/60))/'Set up'!$C$19,"")</f>
        <v>0</v>
      </c>
      <c r="E32" s="369">
        <f>IFERROR((((VLOOKUP($B32,'Unit costs'!$B$25:$I$66,8,FALSE))*E22/60))/'Set up'!$C$20,"")</f>
        <v>0</v>
      </c>
      <c r="F32" s="369">
        <f>IFERROR((((VLOOKUP($B32,'Unit costs'!$B$25:$I$66,8,FALSE))*F22/60))/'Set up'!$C$21,"")</f>
        <v>0</v>
      </c>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row>
    <row r="33" spans="2:40" x14ac:dyDescent="0.25">
      <c r="B33" s="10" t="str">
        <f t="shared" si="2"/>
        <v>Other personnel</v>
      </c>
      <c r="C33" s="369">
        <f>IFERROR((((VLOOKUP($B33,'Unit costs'!$B$25:$I$66,8,FALSE))*C23/60))/'Set up'!$C$18,"")</f>
        <v>0</v>
      </c>
      <c r="D33" s="369">
        <f>IFERROR((((VLOOKUP($B33,'Unit costs'!$B$25:$I$66,8,FALSE))*D23/60))/'Set up'!$C$19,"")</f>
        <v>0</v>
      </c>
      <c r="E33" s="369">
        <f>IFERROR((((VLOOKUP($B33,'Unit costs'!$B$25:$I$66,8,FALSE))*E23/60))/'Set up'!$C$20,"")</f>
        <v>0</v>
      </c>
      <c r="F33" s="369">
        <f>IFERROR((((VLOOKUP($B33,'Unit costs'!$B$25:$I$66,8,FALSE))*F23/60))/'Set up'!$C$21,"")</f>
        <v>0</v>
      </c>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row>
    <row r="34" spans="2:40" x14ac:dyDescent="0.25">
      <c r="B34" s="10" t="str">
        <f t="shared" si="2"/>
        <v>Other personnel</v>
      </c>
      <c r="C34" s="369">
        <f>IFERROR((((VLOOKUP($B34,'Unit costs'!$B$25:$I$66,8,FALSE))*C24/60))/'Set up'!$C$18,"")</f>
        <v>0</v>
      </c>
      <c r="D34" s="369">
        <f>IFERROR((((VLOOKUP($B34,'Unit costs'!$B$25:$I$66,8,FALSE))*D24/60))/'Set up'!$C$19,"")</f>
        <v>0</v>
      </c>
      <c r="E34" s="369">
        <f>IFERROR((((VLOOKUP($B34,'Unit costs'!$B$25:$I$66,8,FALSE))*E24/60))/'Set up'!$C$20,"")</f>
        <v>0</v>
      </c>
      <c r="F34" s="369">
        <f>IFERROR((((VLOOKUP($B34,'Unit costs'!$B$25:$I$66,8,FALSE))*F24/60))/'Set up'!$C$21,"")</f>
        <v>0</v>
      </c>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row>
    <row r="35" spans="2:40" x14ac:dyDescent="0.25">
      <c r="B35" s="10" t="str">
        <f t="shared" si="2"/>
        <v>Other personnel</v>
      </c>
      <c r="C35" s="369">
        <f>IFERROR((((VLOOKUP($B35,'Unit costs'!$B$25:$I$66,8,FALSE))*C25/60))/'Set up'!$C$18,"")</f>
        <v>0</v>
      </c>
      <c r="D35" s="369">
        <f>IFERROR((((VLOOKUP($B35,'Unit costs'!$B$25:$I$66,8,FALSE))*D25/60))/'Set up'!$C$19,"")</f>
        <v>0</v>
      </c>
      <c r="E35" s="369">
        <f>IFERROR((((VLOOKUP($B35,'Unit costs'!$B$25:$I$66,8,FALSE))*E25/60))/'Set up'!$C$20,"")</f>
        <v>0</v>
      </c>
      <c r="F35" s="369">
        <f>IFERROR((((VLOOKUP($B35,'Unit costs'!$B$25:$I$66,8,FALSE))*F25/60))/'Set up'!$C$21,"")</f>
        <v>0</v>
      </c>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row>
    <row r="36" spans="2:40" x14ac:dyDescent="0.25">
      <c r="B36" s="10" t="str">
        <f t="shared" si="2"/>
        <v>Other personnel</v>
      </c>
      <c r="C36" s="369">
        <f>IFERROR((((VLOOKUP($B36,'Unit costs'!$B$25:$I$66,8,FALSE))*C26/60))/'Set up'!$C$18,"")</f>
        <v>0</v>
      </c>
      <c r="D36" s="369">
        <f>IFERROR((((VLOOKUP($B36,'Unit costs'!$B$25:$I$66,8,FALSE))*D26/60))/'Set up'!$C$19,"")</f>
        <v>0</v>
      </c>
      <c r="E36" s="369">
        <f>IFERROR((((VLOOKUP($B36,'Unit costs'!$B$25:$I$66,8,FALSE))*E26/60))/'Set up'!$C$20,"")</f>
        <v>0</v>
      </c>
      <c r="F36" s="369">
        <f>IFERROR((((VLOOKUP($B36,'Unit costs'!$B$25:$I$66,8,FALSE))*F26/60))/'Set up'!$C$21,"")</f>
        <v>0</v>
      </c>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row>
    <row r="37" spans="2:40" s="158" customFormat="1" ht="14.45" customHeight="1" x14ac:dyDescent="0.25">
      <c r="B37" s="55"/>
      <c r="C37" s="56"/>
      <c r="D37" s="56"/>
      <c r="E37" s="56"/>
      <c r="F37" s="56"/>
      <c r="G37" s="56"/>
      <c r="H37" s="229"/>
      <c r="I37" s="229"/>
      <c r="J37" s="229"/>
      <c r="K37" s="229"/>
      <c r="L37" s="229"/>
      <c r="M37" s="207"/>
      <c r="N37" s="207"/>
      <c r="O37" s="207"/>
      <c r="P37" s="207"/>
    </row>
    <row r="38" spans="2:40" s="158" customFormat="1" ht="17.45" customHeight="1" thickBot="1" x14ac:dyDescent="0.3">
      <c r="B38" s="281" t="s">
        <v>355</v>
      </c>
      <c r="C38" s="165"/>
      <c r="D38" s="165"/>
      <c r="E38" s="165"/>
      <c r="F38" s="165"/>
      <c r="G38" s="165"/>
      <c r="H38" s="165"/>
      <c r="I38" s="165"/>
      <c r="J38" s="165"/>
      <c r="K38" s="165"/>
      <c r="L38" s="165"/>
      <c r="M38" s="165"/>
      <c r="N38" s="207"/>
      <c r="O38" s="207"/>
      <c r="P38" s="207"/>
      <c r="Q38" s="207"/>
    </row>
    <row r="39" spans="2:40" s="158" customFormat="1" ht="14.45" customHeight="1" thickBot="1" x14ac:dyDescent="0.3">
      <c r="B39" s="490" t="s">
        <v>356</v>
      </c>
      <c r="C39" s="488" t="s">
        <v>524</v>
      </c>
      <c r="D39" s="488" t="s">
        <v>361</v>
      </c>
      <c r="E39" s="488" t="s">
        <v>365</v>
      </c>
      <c r="F39" s="488" t="s">
        <v>362</v>
      </c>
      <c r="G39" s="488" t="s">
        <v>87</v>
      </c>
      <c r="H39" s="488" t="s">
        <v>88</v>
      </c>
      <c r="I39" s="488" t="s">
        <v>370</v>
      </c>
      <c r="J39" s="486" t="s">
        <v>525</v>
      </c>
      <c r="K39" s="487"/>
      <c r="L39" s="487"/>
      <c r="M39" s="487"/>
      <c r="N39" s="416"/>
      <c r="O39" s="416"/>
      <c r="P39" s="416"/>
      <c r="Q39" s="416"/>
      <c r="R39" s="416"/>
      <c r="S39" s="417"/>
    </row>
    <row r="40" spans="2:40" s="158" customFormat="1" ht="45" customHeight="1" thickBot="1" x14ac:dyDescent="0.3">
      <c r="B40" s="491"/>
      <c r="C40" s="489"/>
      <c r="D40" s="489"/>
      <c r="E40" s="489"/>
      <c r="F40" s="489"/>
      <c r="G40" s="489"/>
      <c r="H40" s="489"/>
      <c r="I40" s="489"/>
      <c r="J40" s="282" t="str">
        <f>'Set up'!B18</f>
        <v>Abbott M2000 RealTime</v>
      </c>
      <c r="K40" s="282" t="str">
        <f>'Set up'!B19</f>
        <v>Abbott M2000 RealTime</v>
      </c>
      <c r="L40" s="282" t="str">
        <f>'Set up'!B20</f>
        <v>Roche COBAS Ampliprep/TaqMan 48</v>
      </c>
      <c r="M40" s="283" t="str">
        <f>'Set up'!B21</f>
        <v>Roche COBAS Ampliprep/TaqMan 48</v>
      </c>
      <c r="N40" s="165"/>
      <c r="O40" s="165"/>
      <c r="P40" s="165"/>
      <c r="Q40" s="207"/>
      <c r="R40" s="207"/>
      <c r="S40" s="207"/>
      <c r="T40" s="207"/>
    </row>
    <row r="41" spans="2:40" s="158" customFormat="1" ht="14.45" customHeight="1" x14ac:dyDescent="0.25">
      <c r="B41" s="284"/>
      <c r="C41" s="285"/>
      <c r="D41" s="286"/>
      <c r="E41" s="286"/>
      <c r="F41" s="286"/>
      <c r="G41" s="286"/>
      <c r="H41" s="370">
        <f>C41*0.05</f>
        <v>0</v>
      </c>
      <c r="I41" s="370">
        <f>($C41+$H41)/5</f>
        <v>0</v>
      </c>
      <c r="J41" s="370">
        <f>IFERROR($I41/'Set up'!$D$18,"")</f>
        <v>0</v>
      </c>
      <c r="K41" s="370">
        <f>IFERROR($I41/'Set up'!$D$19,"")</f>
        <v>0</v>
      </c>
      <c r="L41" s="370">
        <f>IFERROR($I41/'Set up'!$D$20,"")</f>
        <v>0</v>
      </c>
      <c r="M41" s="370">
        <f>IFERROR($I41/'Set up'!$D$21,"")</f>
        <v>0</v>
      </c>
      <c r="N41" s="165"/>
      <c r="O41" s="165"/>
      <c r="P41" s="165"/>
      <c r="Q41" s="207"/>
      <c r="R41" s="207"/>
      <c r="S41" s="207"/>
      <c r="T41" s="207"/>
    </row>
    <row r="42" spans="2:40" s="158" customFormat="1" ht="14.45" customHeight="1" x14ac:dyDescent="0.25">
      <c r="B42" s="160"/>
      <c r="C42" s="285"/>
      <c r="D42" s="257"/>
      <c r="E42" s="257"/>
      <c r="F42" s="257"/>
      <c r="G42" s="286"/>
      <c r="H42" s="370">
        <f t="shared" ref="H42:H49" si="3">C42*0.05</f>
        <v>0</v>
      </c>
      <c r="I42" s="370">
        <f>($C42+$H42)/5</f>
        <v>0</v>
      </c>
      <c r="J42" s="370">
        <f>IFERROR($I42/'Set up'!$D$18,"")</f>
        <v>0</v>
      </c>
      <c r="K42" s="370">
        <f>IFERROR($I42/'Set up'!$D$19,"")</f>
        <v>0</v>
      </c>
      <c r="L42" s="370">
        <f>IFERROR($I42/'Set up'!$D$20,"")</f>
        <v>0</v>
      </c>
      <c r="M42" s="370">
        <f>IFERROR($I42/'Set up'!$D$21,"")</f>
        <v>0</v>
      </c>
      <c r="N42" s="165"/>
      <c r="O42" s="165"/>
      <c r="P42" s="165"/>
      <c r="Q42" s="207"/>
      <c r="R42" s="207"/>
      <c r="S42" s="207"/>
      <c r="T42" s="207"/>
    </row>
    <row r="43" spans="2:40" s="158" customFormat="1" ht="14.45" customHeight="1" x14ac:dyDescent="0.25">
      <c r="B43" s="160"/>
      <c r="C43" s="285"/>
      <c r="D43" s="257"/>
      <c r="E43" s="257"/>
      <c r="F43" s="257"/>
      <c r="G43" s="286"/>
      <c r="H43" s="370">
        <f t="shared" si="3"/>
        <v>0</v>
      </c>
      <c r="I43" s="370">
        <f t="shared" ref="I43:I49" si="4">($C43+$H43)/5</f>
        <v>0</v>
      </c>
      <c r="J43" s="370">
        <f>IFERROR($I43/'Set up'!$D$18,"")</f>
        <v>0</v>
      </c>
      <c r="K43" s="370">
        <f>IFERROR($I43/'Set up'!$D$19,"")</f>
        <v>0</v>
      </c>
      <c r="L43" s="370">
        <f>IFERROR($I43/'Set up'!$D$20,"")</f>
        <v>0</v>
      </c>
      <c r="M43" s="370">
        <f>IFERROR($I43/'Set up'!$D$21,"")</f>
        <v>0</v>
      </c>
      <c r="N43" s="165"/>
      <c r="O43" s="165"/>
      <c r="P43" s="165"/>
      <c r="Q43" s="207"/>
      <c r="R43" s="207"/>
      <c r="S43" s="207"/>
      <c r="T43" s="207"/>
    </row>
    <row r="44" spans="2:40" s="158" customFormat="1" ht="14.45" customHeight="1" x14ac:dyDescent="0.25">
      <c r="B44" s="160"/>
      <c r="C44" s="285"/>
      <c r="D44" s="257"/>
      <c r="E44" s="257"/>
      <c r="F44" s="257"/>
      <c r="G44" s="286"/>
      <c r="H44" s="370">
        <f t="shared" si="3"/>
        <v>0</v>
      </c>
      <c r="I44" s="370">
        <f t="shared" si="4"/>
        <v>0</v>
      </c>
      <c r="J44" s="370">
        <f>IFERROR($I44/'Set up'!$D$18,"")</f>
        <v>0</v>
      </c>
      <c r="K44" s="370">
        <f>IFERROR($I44/'Set up'!$D$19,"")</f>
        <v>0</v>
      </c>
      <c r="L44" s="370">
        <f>IFERROR($I44/'Set up'!$D$20,"")</f>
        <v>0</v>
      </c>
      <c r="M44" s="370">
        <f>IFERROR($I44/'Set up'!$D$21,"")</f>
        <v>0</v>
      </c>
      <c r="N44" s="165"/>
      <c r="O44" s="165"/>
      <c r="P44" s="165"/>
      <c r="Q44" s="207"/>
      <c r="R44" s="207"/>
      <c r="S44" s="207"/>
      <c r="T44" s="207"/>
    </row>
    <row r="45" spans="2:40" s="158" customFormat="1" ht="14.45" customHeight="1" x14ac:dyDescent="0.25">
      <c r="B45" s="160"/>
      <c r="C45" s="285"/>
      <c r="D45" s="257"/>
      <c r="E45" s="257"/>
      <c r="F45" s="257"/>
      <c r="G45" s="286"/>
      <c r="H45" s="370">
        <f t="shared" si="3"/>
        <v>0</v>
      </c>
      <c r="I45" s="370">
        <f t="shared" si="4"/>
        <v>0</v>
      </c>
      <c r="J45" s="370">
        <f>IFERROR($I45/'Set up'!$D$18,"")</f>
        <v>0</v>
      </c>
      <c r="K45" s="370">
        <f>IFERROR($I45/'Set up'!$D$19,"")</f>
        <v>0</v>
      </c>
      <c r="L45" s="370">
        <f>IFERROR($I45/'Set up'!$D$20,"")</f>
        <v>0</v>
      </c>
      <c r="M45" s="370">
        <f>IFERROR($I45/'Set up'!$D$21,"")</f>
        <v>0</v>
      </c>
      <c r="N45" s="165"/>
      <c r="O45" s="165"/>
      <c r="P45" s="165"/>
      <c r="Q45" s="207"/>
      <c r="R45" s="207"/>
      <c r="S45" s="207"/>
      <c r="T45" s="207"/>
    </row>
    <row r="46" spans="2:40" s="158" customFormat="1" ht="14.45" customHeight="1" x14ac:dyDescent="0.25">
      <c r="B46" s="160"/>
      <c r="C46" s="285"/>
      <c r="D46" s="257"/>
      <c r="E46" s="257"/>
      <c r="F46" s="257"/>
      <c r="G46" s="286"/>
      <c r="H46" s="370">
        <f t="shared" si="3"/>
        <v>0</v>
      </c>
      <c r="I46" s="370">
        <f t="shared" si="4"/>
        <v>0</v>
      </c>
      <c r="J46" s="370">
        <f>IFERROR($I46/'Set up'!$D$18,"")</f>
        <v>0</v>
      </c>
      <c r="K46" s="370">
        <f>IFERROR($I46/'Set up'!$D$19,"")</f>
        <v>0</v>
      </c>
      <c r="L46" s="370">
        <f>IFERROR($I46/'Set up'!$D$20,"")</f>
        <v>0</v>
      </c>
      <c r="M46" s="370">
        <f>IFERROR($I46/'Set up'!$D$21,"")</f>
        <v>0</v>
      </c>
      <c r="N46" s="165"/>
      <c r="O46" s="165"/>
      <c r="P46" s="165"/>
      <c r="Q46" s="207"/>
      <c r="R46" s="207"/>
      <c r="S46" s="207"/>
      <c r="T46" s="207"/>
    </row>
    <row r="47" spans="2:40" s="158" customFormat="1" ht="14.45" customHeight="1" x14ac:dyDescent="0.25">
      <c r="B47" s="160"/>
      <c r="C47" s="285"/>
      <c r="D47" s="257"/>
      <c r="E47" s="257"/>
      <c r="F47" s="257"/>
      <c r="G47" s="286"/>
      <c r="H47" s="370">
        <f t="shared" si="3"/>
        <v>0</v>
      </c>
      <c r="I47" s="370">
        <f t="shared" si="4"/>
        <v>0</v>
      </c>
      <c r="J47" s="370">
        <f>IFERROR($I47/'Set up'!$D$18,"")</f>
        <v>0</v>
      </c>
      <c r="K47" s="370">
        <f>IFERROR($I47/'Set up'!$D$19,"")</f>
        <v>0</v>
      </c>
      <c r="L47" s="370">
        <f>IFERROR($I47/'Set up'!$D$20,"")</f>
        <v>0</v>
      </c>
      <c r="M47" s="370">
        <f>IFERROR($I47/'Set up'!$D$21,"")</f>
        <v>0</v>
      </c>
      <c r="N47" s="165"/>
      <c r="O47" s="165"/>
      <c r="P47" s="165"/>
      <c r="Q47" s="207"/>
      <c r="R47" s="207"/>
      <c r="S47" s="207"/>
      <c r="T47" s="207"/>
    </row>
    <row r="48" spans="2:40" s="158" customFormat="1" ht="14.45" customHeight="1" x14ac:dyDescent="0.25">
      <c r="B48" s="160"/>
      <c r="C48" s="285"/>
      <c r="D48" s="257"/>
      <c r="E48" s="257"/>
      <c r="F48" s="257"/>
      <c r="G48" s="286"/>
      <c r="H48" s="370">
        <f t="shared" si="3"/>
        <v>0</v>
      </c>
      <c r="I48" s="370">
        <f t="shared" si="4"/>
        <v>0</v>
      </c>
      <c r="J48" s="370">
        <f>IFERROR($I48/'Set up'!$D$18,"")</f>
        <v>0</v>
      </c>
      <c r="K48" s="370">
        <f>IFERROR($I48/'Set up'!$D$19,"")</f>
        <v>0</v>
      </c>
      <c r="L48" s="370">
        <f>IFERROR($I48/'Set up'!$D$20,"")</f>
        <v>0</v>
      </c>
      <c r="M48" s="370">
        <f>IFERROR($I48/'Set up'!$D$21,"")</f>
        <v>0</v>
      </c>
      <c r="N48" s="165"/>
      <c r="O48" s="165"/>
      <c r="P48" s="165"/>
      <c r="Q48" s="207"/>
      <c r="R48" s="207"/>
      <c r="S48" s="207"/>
      <c r="T48" s="207"/>
    </row>
    <row r="49" spans="1:50" s="158" customFormat="1" ht="14.45" customHeight="1" x14ac:dyDescent="0.25">
      <c r="B49" s="160"/>
      <c r="C49" s="285"/>
      <c r="D49" s="257"/>
      <c r="E49" s="257"/>
      <c r="F49" s="257"/>
      <c r="G49" s="286"/>
      <c r="H49" s="370">
        <f t="shared" si="3"/>
        <v>0</v>
      </c>
      <c r="I49" s="370">
        <f t="shared" si="4"/>
        <v>0</v>
      </c>
      <c r="J49" s="370">
        <f>IFERROR($I49/'Set up'!$D$18,"")</f>
        <v>0</v>
      </c>
      <c r="K49" s="370">
        <f>IFERROR($I49/'Set up'!$D$19,"")</f>
        <v>0</v>
      </c>
      <c r="L49" s="370">
        <f>IFERROR($I49/'Set up'!$D$20,"")</f>
        <v>0</v>
      </c>
      <c r="M49" s="370">
        <f>IFERROR($I49/'Set up'!$D$21,"")</f>
        <v>0</v>
      </c>
      <c r="N49" s="165"/>
      <c r="O49" s="165"/>
      <c r="P49" s="207"/>
      <c r="Q49" s="207"/>
      <c r="R49" s="207"/>
      <c r="S49" s="207"/>
    </row>
    <row r="50" spans="1:50" x14ac:dyDescent="0.25">
      <c r="B50" s="165"/>
      <c r="C50" s="165"/>
      <c r="D50" s="165"/>
      <c r="E50" s="165"/>
      <c r="F50" s="165"/>
      <c r="G50" s="165"/>
      <c r="H50" s="165"/>
      <c r="I50" s="165"/>
      <c r="J50" s="165"/>
      <c r="K50" s="165"/>
      <c r="L50" s="165"/>
      <c r="M50" s="231"/>
      <c r="N50" s="231"/>
      <c r="O50" s="231"/>
      <c r="P50" s="231"/>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row>
    <row r="51" spans="1:50" ht="16.149999999999999" customHeight="1" thickBot="1" x14ac:dyDescent="0.3">
      <c r="A51" s="120"/>
      <c r="B51" s="446" t="s">
        <v>512</v>
      </c>
      <c r="C51" s="446"/>
      <c r="D51" s="446"/>
      <c r="E51" s="446"/>
      <c r="F51" s="446"/>
      <c r="G51" s="232"/>
      <c r="H51" s="232"/>
      <c r="I51" s="232"/>
      <c r="J51" s="232"/>
      <c r="K51" s="232"/>
      <c r="L51" s="232"/>
      <c r="M51" s="231"/>
    </row>
    <row r="52" spans="1:50" ht="45.6" customHeight="1" x14ac:dyDescent="0.25">
      <c r="A52" s="120"/>
      <c r="B52" s="233" t="s">
        <v>320</v>
      </c>
      <c r="C52" s="246" t="str">
        <f>'Set up'!B18</f>
        <v>Abbott M2000 RealTime</v>
      </c>
      <c r="D52" s="246" t="str">
        <f>'Set up'!B19</f>
        <v>Abbott M2000 RealTime</v>
      </c>
      <c r="E52" s="246" t="str">
        <f>'Set up'!B20</f>
        <v>Roche COBAS Ampliprep/TaqMan 48</v>
      </c>
      <c r="F52" s="246" t="str">
        <f>'Set up'!B21</f>
        <v>Roche COBAS Ampliprep/TaqMan 48</v>
      </c>
      <c r="G52" s="231"/>
    </row>
    <row r="53" spans="1:50" x14ac:dyDescent="0.25">
      <c r="A53" s="120"/>
      <c r="B53" s="235" t="s">
        <v>86</v>
      </c>
      <c r="C53" s="287">
        <f>'Set up'!$D$18</f>
        <v>46500</v>
      </c>
      <c r="D53" s="288">
        <f>'Set up'!$D$19</f>
        <v>46500</v>
      </c>
      <c r="E53" s="287">
        <f>'Set up'!$D$20</f>
        <v>42000</v>
      </c>
      <c r="F53" s="287">
        <f>'Set up'!$D$21</f>
        <v>42000</v>
      </c>
      <c r="G53" s="231"/>
    </row>
    <row r="54" spans="1:50" x14ac:dyDescent="0.25">
      <c r="A54" s="120"/>
      <c r="B54" s="235" t="s">
        <v>86</v>
      </c>
      <c r="C54" s="287">
        <f>'Set up'!$D$18</f>
        <v>46500</v>
      </c>
      <c r="D54" s="288">
        <f>'Set up'!$D$19</f>
        <v>46500</v>
      </c>
      <c r="E54" s="287">
        <f>'Set up'!$D$20</f>
        <v>42000</v>
      </c>
      <c r="F54" s="287">
        <f>'Set up'!$D$21</f>
        <v>42000</v>
      </c>
      <c r="G54" s="231"/>
    </row>
    <row r="55" spans="1:50" x14ac:dyDescent="0.25">
      <c r="B55" s="235" t="s">
        <v>86</v>
      </c>
      <c r="C55" s="287">
        <f>'Set up'!$D$18</f>
        <v>46500</v>
      </c>
      <c r="D55" s="288">
        <f>'Set up'!$D$19</f>
        <v>46500</v>
      </c>
      <c r="E55" s="287">
        <f>'Set up'!$D$20</f>
        <v>42000</v>
      </c>
      <c r="F55" s="287">
        <f>'Set up'!$D$21</f>
        <v>42000</v>
      </c>
    </row>
    <row r="56" spans="1:50" x14ac:dyDescent="0.25">
      <c r="B56" s="235" t="s">
        <v>86</v>
      </c>
      <c r="C56" s="287">
        <f>'Set up'!$D$18</f>
        <v>46500</v>
      </c>
      <c r="D56" s="288">
        <f>'Set up'!$D$19</f>
        <v>46500</v>
      </c>
      <c r="E56" s="287">
        <f>'Set up'!$D$20</f>
        <v>42000</v>
      </c>
      <c r="F56" s="287">
        <f>'Set up'!$D$21</f>
        <v>42000</v>
      </c>
    </row>
    <row r="57" spans="1:50" x14ac:dyDescent="0.25">
      <c r="B57" s="235" t="s">
        <v>86</v>
      </c>
      <c r="C57" s="287">
        <f>'Set up'!$D$18</f>
        <v>46500</v>
      </c>
      <c r="D57" s="288">
        <f>'Set up'!$D$19</f>
        <v>46500</v>
      </c>
      <c r="E57" s="287">
        <f>'Set up'!$D$20</f>
        <v>42000</v>
      </c>
      <c r="F57" s="287">
        <f>'Set up'!$D$21</f>
        <v>42000</v>
      </c>
    </row>
    <row r="58" spans="1:50" x14ac:dyDescent="0.25">
      <c r="B58" s="235" t="s">
        <v>86</v>
      </c>
      <c r="C58" s="287">
        <f>'Set up'!$D$18</f>
        <v>46500</v>
      </c>
      <c r="D58" s="288">
        <f>'Set up'!$D$19</f>
        <v>46500</v>
      </c>
      <c r="E58" s="287">
        <f>'Set up'!$D$20</f>
        <v>42000</v>
      </c>
      <c r="F58" s="287">
        <f>'Set up'!$D$21</f>
        <v>42000</v>
      </c>
    </row>
    <row r="59" spans="1:50" x14ac:dyDescent="0.25">
      <c r="B59" s="235" t="s">
        <v>86</v>
      </c>
      <c r="C59" s="287">
        <f>'Set up'!$D$18</f>
        <v>46500</v>
      </c>
      <c r="D59" s="288">
        <f>'Set up'!$D$19</f>
        <v>46500</v>
      </c>
      <c r="E59" s="287">
        <f>'Set up'!$D$20</f>
        <v>42000</v>
      </c>
      <c r="F59" s="287">
        <f>'Set up'!$D$21</f>
        <v>42000</v>
      </c>
    </row>
    <row r="60" spans="1:50" x14ac:dyDescent="0.25">
      <c r="B60" s="235" t="s">
        <v>86</v>
      </c>
      <c r="C60" s="287">
        <f>'Set up'!$D$18</f>
        <v>46500</v>
      </c>
      <c r="D60" s="288">
        <f>'Set up'!$D$19</f>
        <v>46500</v>
      </c>
      <c r="E60" s="287">
        <f>'Set up'!$D$20</f>
        <v>42000</v>
      </c>
      <c r="F60" s="287">
        <f>'Set up'!$D$21</f>
        <v>42000</v>
      </c>
    </row>
    <row r="61" spans="1:50" x14ac:dyDescent="0.25">
      <c r="B61" s="231"/>
      <c r="C61" s="231"/>
      <c r="D61" s="231"/>
      <c r="E61" s="231"/>
      <c r="F61" s="231"/>
    </row>
    <row r="62" spans="1:50" ht="15.75" thickBot="1" x14ac:dyDescent="0.3">
      <c r="B62" s="446" t="s">
        <v>511</v>
      </c>
      <c r="C62" s="446"/>
      <c r="D62" s="446"/>
      <c r="E62" s="446"/>
      <c r="F62" s="446"/>
    </row>
    <row r="63" spans="1:50" x14ac:dyDescent="0.25">
      <c r="B63" s="237" t="str">
        <f t="shared" ref="B63:B70" si="5">B53</f>
        <v>Other</v>
      </c>
      <c r="C63" s="349">
        <f>IFERROR(VLOOKUP($B63,'Unit costs'!$B$178:$C$206,2,FALSE)/$C53,"")</f>
        <v>0</v>
      </c>
      <c r="D63" s="349">
        <f>IFERROR(VLOOKUP($B63,'Unit costs'!$B$178:$C$206,2,FALSE)/$D53,"")</f>
        <v>0</v>
      </c>
      <c r="E63" s="349">
        <f>IFERROR(VLOOKUP($B63,'Unit costs'!$B$178:$C$206,2,FALSE)/$E53,"")</f>
        <v>0</v>
      </c>
      <c r="F63" s="349">
        <f>IFERROR(VLOOKUP($B63,'Unit costs'!$B$178:$C$206,2,FALSE)/$F53,"")</f>
        <v>0</v>
      </c>
    </row>
    <row r="64" spans="1:50" x14ac:dyDescent="0.25">
      <c r="B64" s="237" t="str">
        <f t="shared" si="5"/>
        <v>Other</v>
      </c>
      <c r="C64" s="349">
        <f>IFERROR(VLOOKUP($B64,'Unit costs'!$B$178:$C$206,2,FALSE)/$C54,"")</f>
        <v>0</v>
      </c>
      <c r="D64" s="349">
        <f>IFERROR(VLOOKUP($B64,'Unit costs'!$B$178:$C$206,2,FALSE)/$D54,"")</f>
        <v>0</v>
      </c>
      <c r="E64" s="349">
        <f>IFERROR(VLOOKUP($B64,'Unit costs'!$B$178:$C$206,2,FALSE)/$E54,"")</f>
        <v>0</v>
      </c>
      <c r="F64" s="349">
        <f>IFERROR(VLOOKUP($B64,'Unit costs'!$B$178:$C$206,2,FALSE)/$F54,"")</f>
        <v>0</v>
      </c>
    </row>
    <row r="65" spans="2:16" x14ac:dyDescent="0.25">
      <c r="B65" s="237" t="str">
        <f t="shared" si="5"/>
        <v>Other</v>
      </c>
      <c r="C65" s="349">
        <f>IFERROR(VLOOKUP($B65,'Unit costs'!$B$178:$C$206,2,FALSE)/$C55,"")</f>
        <v>0</v>
      </c>
      <c r="D65" s="349">
        <f>IFERROR(VLOOKUP($B65,'Unit costs'!$B$178:$C$206,2,FALSE)/$D55,"")</f>
        <v>0</v>
      </c>
      <c r="E65" s="349">
        <f>IFERROR(VLOOKUP($B65,'Unit costs'!$B$178:$C$206,2,FALSE)/$E55,"")</f>
        <v>0</v>
      </c>
      <c r="F65" s="349">
        <f>IFERROR(VLOOKUP($B65,'Unit costs'!$B$178:$C$206,2,FALSE)/$F55,"")</f>
        <v>0</v>
      </c>
    </row>
    <row r="66" spans="2:16" x14ac:dyDescent="0.25">
      <c r="B66" s="237" t="str">
        <f t="shared" si="5"/>
        <v>Other</v>
      </c>
      <c r="C66" s="349">
        <f>IFERROR(VLOOKUP($B66,'Unit costs'!$B$178:$C$206,2,FALSE)/$C56,"")</f>
        <v>0</v>
      </c>
      <c r="D66" s="349">
        <f>IFERROR(VLOOKUP($B66,'Unit costs'!$B$178:$C$206,2,FALSE)/$D56,"")</f>
        <v>0</v>
      </c>
      <c r="E66" s="349">
        <f>IFERROR(VLOOKUP($B66,'Unit costs'!$B$178:$C$206,2,FALSE)/$E56,"")</f>
        <v>0</v>
      </c>
      <c r="F66" s="349">
        <f>IFERROR(VLOOKUP($B66,'Unit costs'!$B$178:$C$206,2,FALSE)/$F56,"")</f>
        <v>0</v>
      </c>
    </row>
    <row r="67" spans="2:16" x14ac:dyDescent="0.25">
      <c r="B67" s="237" t="str">
        <f t="shared" si="5"/>
        <v>Other</v>
      </c>
      <c r="C67" s="349">
        <f>IFERROR(VLOOKUP($B67,'Unit costs'!$B$178:$C$206,2,FALSE)/$C57,"")</f>
        <v>0</v>
      </c>
      <c r="D67" s="349">
        <f>IFERROR(VLOOKUP($B67,'Unit costs'!$B$178:$C$206,2,FALSE)/$D57,"")</f>
        <v>0</v>
      </c>
      <c r="E67" s="349">
        <f>IFERROR(VLOOKUP($B67,'Unit costs'!$B$178:$C$206,2,FALSE)/$E57,"")</f>
        <v>0</v>
      </c>
      <c r="F67" s="349">
        <f>IFERROR(VLOOKUP($B67,'Unit costs'!$B$178:$C$206,2,FALSE)/$F57,"")</f>
        <v>0</v>
      </c>
    </row>
    <row r="68" spans="2:16" x14ac:dyDescent="0.25">
      <c r="B68" s="237" t="str">
        <f t="shared" si="5"/>
        <v>Other</v>
      </c>
      <c r="C68" s="349">
        <f>IFERROR(VLOOKUP($B68,'Unit costs'!$B$178:$C$206,2,FALSE)/$C58,"")</f>
        <v>0</v>
      </c>
      <c r="D68" s="349">
        <f>IFERROR(VLOOKUP($B68,'Unit costs'!$B$178:$C$206,2,FALSE)/$D58,"")</f>
        <v>0</v>
      </c>
      <c r="E68" s="349">
        <f>IFERROR(VLOOKUP($B68,'Unit costs'!$B$178:$C$206,2,FALSE)/$E58,"")</f>
        <v>0</v>
      </c>
      <c r="F68" s="349">
        <f>IFERROR(VLOOKUP($B68,'Unit costs'!$B$178:$C$206,2,FALSE)/$F58,"")</f>
        <v>0</v>
      </c>
    </row>
    <row r="69" spans="2:16" x14ac:dyDescent="0.25">
      <c r="B69" s="237" t="str">
        <f t="shared" si="5"/>
        <v>Other</v>
      </c>
      <c r="C69" s="349">
        <f>IFERROR(VLOOKUP($B69,'Unit costs'!$B$178:$C$206,2,FALSE)/$C59,"")</f>
        <v>0</v>
      </c>
      <c r="D69" s="349">
        <f>IFERROR(VLOOKUP($B69,'Unit costs'!$B$178:$C$206,2,FALSE)/$D59,"")</f>
        <v>0</v>
      </c>
      <c r="E69" s="349">
        <f>IFERROR(VLOOKUP($B69,'Unit costs'!$B$178:$C$206,2,FALSE)/$E59,"")</f>
        <v>0</v>
      </c>
      <c r="F69" s="349">
        <f>IFERROR(VLOOKUP($B69,'Unit costs'!$B$178:$C$206,2,FALSE)/$F59,"")</f>
        <v>0</v>
      </c>
    </row>
    <row r="70" spans="2:16" x14ac:dyDescent="0.25">
      <c r="B70" s="237" t="str">
        <f t="shared" si="5"/>
        <v>Other</v>
      </c>
      <c r="C70" s="349">
        <f>IFERROR(VLOOKUP($B70,'Unit costs'!$B$178:$C$206,2,FALSE)/$C60,"")</f>
        <v>0</v>
      </c>
      <c r="D70" s="349">
        <f>IFERROR(VLOOKUP($B70,'Unit costs'!$B$178:$C$206,2,FALSE)/$D60,"")</f>
        <v>0</v>
      </c>
      <c r="E70" s="349">
        <f>IFERROR(VLOOKUP($B70,'Unit costs'!$B$178:$C$206,2,FALSE)/$E60,"")</f>
        <v>0</v>
      </c>
      <c r="F70" s="349">
        <f>IFERROR(VLOOKUP($B70,'Unit costs'!$B$178:$C$206,2,FALSE)/$F60,"")</f>
        <v>0</v>
      </c>
    </row>
    <row r="71" spans="2:16" s="112" customFormat="1" x14ac:dyDescent="0.25">
      <c r="B71" s="231"/>
      <c r="C71" s="231"/>
      <c r="D71" s="231"/>
      <c r="E71" s="231"/>
      <c r="F71" s="231"/>
      <c r="G71" s="231"/>
      <c r="H71" s="236"/>
      <c r="I71" s="236"/>
      <c r="J71" s="236"/>
      <c r="K71" s="236"/>
      <c r="L71" s="236"/>
      <c r="M71" s="158"/>
      <c r="N71" s="158"/>
      <c r="O71" s="158"/>
      <c r="P71" s="158"/>
    </row>
    <row r="72" spans="2:16" ht="24.6" customHeight="1" thickBot="1" x14ac:dyDescent="0.3">
      <c r="B72" s="463" t="s">
        <v>514</v>
      </c>
      <c r="C72" s="463"/>
      <c r="D72" s="463"/>
      <c r="E72" s="463"/>
      <c r="F72" s="463"/>
      <c r="G72" s="463"/>
    </row>
    <row r="73" spans="2:16" ht="45.75" thickBot="1" x14ac:dyDescent="0.3">
      <c r="B73" s="139" t="s">
        <v>231</v>
      </c>
      <c r="C73" s="247" t="str">
        <f>'Set up'!B18</f>
        <v>Abbott M2000 RealTime</v>
      </c>
      <c r="D73" s="247" t="str">
        <f>'Set up'!B19</f>
        <v>Abbott M2000 RealTime</v>
      </c>
      <c r="E73" s="247" t="str">
        <f>'Set up'!B20</f>
        <v>Roche COBAS Ampliprep/TaqMan 48</v>
      </c>
      <c r="F73" s="247" t="str">
        <f>'Set up'!B21</f>
        <v>Roche COBAS Ampliprep/TaqMan 48</v>
      </c>
    </row>
    <row r="74" spans="2:16" x14ac:dyDescent="0.25">
      <c r="B74" s="239"/>
      <c r="C74" s="259" t="e">
        <f>VLOOKUP($B74,'Unit costs'!$B$86:$E$173,4,FALSE)</f>
        <v>#N/A</v>
      </c>
      <c r="D74" s="259" t="e">
        <f>VLOOKUP($B74,'Unit costs'!$B$86:$E$173,4,FALSE)</f>
        <v>#N/A</v>
      </c>
      <c r="E74" s="259" t="e">
        <f>VLOOKUP($B74,'Unit costs'!$B$86:$E$173,4,FALSE)</f>
        <v>#N/A</v>
      </c>
      <c r="F74" s="259" t="e">
        <f>VLOOKUP($B74,'Unit costs'!$B$86:$E$173,4,FALSE)</f>
        <v>#N/A</v>
      </c>
    </row>
    <row r="75" spans="2:16" x14ac:dyDescent="0.25">
      <c r="B75" s="184"/>
      <c r="C75" s="259" t="e">
        <f>VLOOKUP($B75,'Unit costs'!$B$86:$E$173,4,FALSE)</f>
        <v>#N/A</v>
      </c>
      <c r="D75" s="259" t="e">
        <f>VLOOKUP($B75,'Unit costs'!$B$86:$E$173,4,FALSE)</f>
        <v>#N/A</v>
      </c>
      <c r="E75" s="259" t="e">
        <f>VLOOKUP($B75,'Unit costs'!$B$86:$E$173,4,FALSE)</f>
        <v>#N/A</v>
      </c>
      <c r="F75" s="259" t="e">
        <f>VLOOKUP($B75,'Unit costs'!$B$86:$E$173,4,FALSE)</f>
        <v>#N/A</v>
      </c>
    </row>
    <row r="76" spans="2:16" x14ac:dyDescent="0.25">
      <c r="B76" s="184"/>
      <c r="C76" s="259" t="e">
        <f>VLOOKUP($B76,'Unit costs'!$B$86:$E$173,4,FALSE)</f>
        <v>#N/A</v>
      </c>
      <c r="D76" s="259" t="e">
        <f>VLOOKUP($B76,'Unit costs'!$B$86:$E$173,4,FALSE)</f>
        <v>#N/A</v>
      </c>
      <c r="E76" s="259" t="e">
        <f>VLOOKUP($B76,'Unit costs'!$B$86:$E$173,4,FALSE)</f>
        <v>#N/A</v>
      </c>
      <c r="F76" s="259" t="e">
        <f>VLOOKUP($B76,'Unit costs'!$B$86:$E$173,4,FALSE)</f>
        <v>#N/A</v>
      </c>
    </row>
    <row r="77" spans="2:16" x14ac:dyDescent="0.25">
      <c r="B77" s="184"/>
      <c r="C77" s="259" t="e">
        <f>VLOOKUP($B77,'Unit costs'!$B$86:$E$173,4,FALSE)</f>
        <v>#N/A</v>
      </c>
      <c r="D77" s="259" t="e">
        <f>VLOOKUP($B77,'Unit costs'!$B$86:$E$173,4,FALSE)</f>
        <v>#N/A</v>
      </c>
      <c r="E77" s="259" t="e">
        <f>VLOOKUP($B77,'Unit costs'!$B$86:$E$173,4,FALSE)</f>
        <v>#N/A</v>
      </c>
      <c r="F77" s="259" t="e">
        <f>VLOOKUP($B77,'Unit costs'!$B$86:$E$173,4,FALSE)</f>
        <v>#N/A</v>
      </c>
    </row>
    <row r="78" spans="2:16" x14ac:dyDescent="0.25">
      <c r="B78" s="184"/>
      <c r="C78" s="259" t="e">
        <f>VLOOKUP($B78,'Unit costs'!$B$86:$E$173,4,FALSE)</f>
        <v>#N/A</v>
      </c>
      <c r="D78" s="259" t="e">
        <f>VLOOKUP($B78,'Unit costs'!$B$86:$E$173,4,FALSE)</f>
        <v>#N/A</v>
      </c>
      <c r="E78" s="259" t="e">
        <f>VLOOKUP($B78,'Unit costs'!$B$86:$E$173,4,FALSE)</f>
        <v>#N/A</v>
      </c>
      <c r="F78" s="259" t="e">
        <f>VLOOKUP($B78,'Unit costs'!$B$86:$E$173,4,FALSE)</f>
        <v>#N/A</v>
      </c>
    </row>
    <row r="79" spans="2:16" x14ac:dyDescent="0.25">
      <c r="B79" s="184"/>
      <c r="C79" s="259" t="e">
        <f>VLOOKUP($B79,'Unit costs'!$B$86:$E$173,4,FALSE)</f>
        <v>#N/A</v>
      </c>
      <c r="D79" s="259" t="e">
        <f>VLOOKUP($B79,'Unit costs'!$B$86:$E$173,4,FALSE)</f>
        <v>#N/A</v>
      </c>
      <c r="E79" s="259" t="e">
        <f>VLOOKUP($B79,'Unit costs'!$B$86:$E$173,4,FALSE)</f>
        <v>#N/A</v>
      </c>
      <c r="F79" s="259" t="e">
        <f>VLOOKUP($B79,'Unit costs'!$B$86:$E$173,4,FALSE)</f>
        <v>#N/A</v>
      </c>
    </row>
    <row r="80" spans="2:16" x14ac:dyDescent="0.25">
      <c r="B80" s="184"/>
      <c r="C80" s="259" t="e">
        <f>VLOOKUP($B80,'Unit costs'!$B$86:$E$173,4,FALSE)</f>
        <v>#N/A</v>
      </c>
      <c r="D80" s="259" t="e">
        <f>VLOOKUP($B80,'Unit costs'!$B$86:$E$173,4,FALSE)</f>
        <v>#N/A</v>
      </c>
      <c r="E80" s="259" t="e">
        <f>VLOOKUP($B80,'Unit costs'!$B$86:$E$173,4,FALSE)</f>
        <v>#N/A</v>
      </c>
      <c r="F80" s="259" t="e">
        <f>VLOOKUP($B80,'Unit costs'!$B$86:$E$173,4,FALSE)</f>
        <v>#N/A</v>
      </c>
    </row>
    <row r="81" spans="2:6" x14ac:dyDescent="0.25">
      <c r="B81" s="184"/>
      <c r="C81" s="259" t="e">
        <f>VLOOKUP($B81,'Unit costs'!$B$86:$E$173,4,FALSE)</f>
        <v>#N/A</v>
      </c>
      <c r="D81" s="259" t="e">
        <f>VLOOKUP($B81,'Unit costs'!$B$86:$E$173,4,FALSE)</f>
        <v>#N/A</v>
      </c>
      <c r="E81" s="259" t="e">
        <f>VLOOKUP($B81,'Unit costs'!$B$86:$E$173,4,FALSE)</f>
        <v>#N/A</v>
      </c>
      <c r="F81" s="259" t="e">
        <f>VLOOKUP($B81,'Unit costs'!$B$86:$E$173,4,FALSE)</f>
        <v>#N/A</v>
      </c>
    </row>
    <row r="82" spans="2:6" x14ac:dyDescent="0.25">
      <c r="B82" s="184"/>
      <c r="C82" s="259" t="e">
        <f>VLOOKUP($B82,'Unit costs'!$B$86:$E$173,4,FALSE)</f>
        <v>#N/A</v>
      </c>
      <c r="D82" s="259" t="e">
        <f>VLOOKUP($B82,'Unit costs'!$B$86:$E$173,4,FALSE)</f>
        <v>#N/A</v>
      </c>
      <c r="E82" s="259" t="e">
        <f>VLOOKUP($B82,'Unit costs'!$B$86:$E$173,4,FALSE)</f>
        <v>#N/A</v>
      </c>
      <c r="F82" s="259" t="e">
        <f>VLOOKUP($B82,'Unit costs'!$B$86:$E$173,4,FALSE)</f>
        <v>#N/A</v>
      </c>
    </row>
    <row r="83" spans="2:6" x14ac:dyDescent="0.25">
      <c r="B83" s="184"/>
      <c r="C83" s="259" t="e">
        <f>VLOOKUP($B83,'Unit costs'!$B$86:$E$173,4,FALSE)</f>
        <v>#N/A</v>
      </c>
      <c r="D83" s="259" t="e">
        <f>VLOOKUP($B83,'Unit costs'!$B$86:$E$173,4,FALSE)</f>
        <v>#N/A</v>
      </c>
      <c r="E83" s="259" t="e">
        <f>VLOOKUP($B83,'Unit costs'!$B$86:$E$173,4,FALSE)</f>
        <v>#N/A</v>
      </c>
      <c r="F83" s="259" t="e">
        <f>VLOOKUP($B83,'Unit costs'!$B$86:$E$173,4,FALSE)</f>
        <v>#N/A</v>
      </c>
    </row>
    <row r="84" spans="2:6" x14ac:dyDescent="0.25">
      <c r="B84" s="184"/>
      <c r="C84" s="259" t="e">
        <f>VLOOKUP($B84,'Unit costs'!$B$86:$E$173,4,FALSE)</f>
        <v>#N/A</v>
      </c>
      <c r="D84" s="259" t="e">
        <f>VLOOKUP($B84,'Unit costs'!$B$86:$E$173,4,FALSE)</f>
        <v>#N/A</v>
      </c>
      <c r="E84" s="259" t="e">
        <f>VLOOKUP($B84,'Unit costs'!$B$86:$E$173,4,FALSE)</f>
        <v>#N/A</v>
      </c>
      <c r="F84" s="259" t="e">
        <f>VLOOKUP($B84,'Unit costs'!$B$86:$E$173,4,FALSE)</f>
        <v>#N/A</v>
      </c>
    </row>
    <row r="85" spans="2:6" x14ac:dyDescent="0.25">
      <c r="B85" s="184"/>
      <c r="C85" s="259" t="e">
        <f>VLOOKUP($B85,'Unit costs'!$B$86:$E$173,4,FALSE)</f>
        <v>#N/A</v>
      </c>
      <c r="D85" s="259" t="e">
        <f>VLOOKUP($B85,'Unit costs'!$B$86:$E$173,4,FALSE)</f>
        <v>#N/A</v>
      </c>
      <c r="E85" s="259" t="e">
        <f>VLOOKUP($B85,'Unit costs'!$B$86:$E$173,4,FALSE)</f>
        <v>#N/A</v>
      </c>
      <c r="F85" s="259" t="e">
        <f>VLOOKUP($B85,'Unit costs'!$B$86:$E$173,4,FALSE)</f>
        <v>#N/A</v>
      </c>
    </row>
    <row r="86" spans="2:6" x14ac:dyDescent="0.25">
      <c r="B86" s="184"/>
      <c r="C86" s="259" t="e">
        <f>VLOOKUP($B86,'Unit costs'!$B$86:$E$173,4,FALSE)</f>
        <v>#N/A</v>
      </c>
      <c r="D86" s="259" t="e">
        <f>VLOOKUP($B86,'Unit costs'!$B$86:$E$173,4,FALSE)</f>
        <v>#N/A</v>
      </c>
      <c r="E86" s="259" t="e">
        <f>VLOOKUP($B86,'Unit costs'!$B$86:$E$173,4,FALSE)</f>
        <v>#N/A</v>
      </c>
      <c r="F86" s="259" t="e">
        <f>VLOOKUP($B86,'Unit costs'!$B$86:$E$173,4,FALSE)</f>
        <v>#N/A</v>
      </c>
    </row>
    <row r="87" spans="2:6" s="158" customFormat="1" x14ac:dyDescent="0.25">
      <c r="B87" s="240"/>
      <c r="C87" s="259" t="e">
        <f>VLOOKUP($B87,'Unit costs'!$B$86:$E$173,4,FALSE)</f>
        <v>#N/A</v>
      </c>
      <c r="D87" s="259" t="e">
        <f>VLOOKUP($B87,'Unit costs'!$B$86:$E$173,4,FALSE)</f>
        <v>#N/A</v>
      </c>
      <c r="E87" s="259" t="e">
        <f>VLOOKUP($B87,'Unit costs'!$B$86:$E$173,4,FALSE)</f>
        <v>#N/A</v>
      </c>
      <c r="F87" s="259" t="e">
        <f>VLOOKUP($B87,'Unit costs'!$B$86:$E$173,4,FALSE)</f>
        <v>#N/A</v>
      </c>
    </row>
    <row r="88" spans="2:6" s="158" customFormat="1" x14ac:dyDescent="0.25">
      <c r="B88" s="207"/>
      <c r="C88" s="207"/>
      <c r="D88" s="207"/>
      <c r="E88" s="207"/>
      <c r="F88" s="207"/>
    </row>
    <row r="89" spans="2:6" s="158" customFormat="1" ht="15.75" thickBot="1" x14ac:dyDescent="0.3">
      <c r="B89" s="446" t="s">
        <v>511</v>
      </c>
      <c r="C89" s="446"/>
      <c r="D89" s="446"/>
      <c r="E89" s="446"/>
      <c r="F89" s="446"/>
    </row>
    <row r="90" spans="2:6" s="158" customFormat="1" ht="15.75" thickBot="1" x14ac:dyDescent="0.3">
      <c r="B90" s="241">
        <f t="shared" ref="B90:B103" si="6">B74</f>
        <v>0</v>
      </c>
      <c r="C90" s="348" t="str">
        <f>IFERROR(VLOOKUP($B90,'Unit costs'!$B$86:$F$173,5,FALSE)*C74,"")</f>
        <v/>
      </c>
      <c r="D90" s="348" t="str">
        <f>IFERROR(VLOOKUP($B90,'Unit costs'!$B$86:$F$173,5,FALSE)*D74,"")</f>
        <v/>
      </c>
      <c r="E90" s="348" t="str">
        <f>IFERROR(VLOOKUP($B90,'Unit costs'!$B$86:$F$173,5,FALSE)*E74,"")</f>
        <v/>
      </c>
      <c r="F90" s="348" t="str">
        <f>IFERROR(VLOOKUP($B90,'Unit costs'!$B$86:$F$173,5,FALSE)*F74,"")</f>
        <v/>
      </c>
    </row>
    <row r="91" spans="2:6" s="158" customFormat="1" ht="15.75" thickBot="1" x14ac:dyDescent="0.3">
      <c r="B91" s="242">
        <f t="shared" si="6"/>
        <v>0</v>
      </c>
      <c r="C91" s="348" t="str">
        <f>IFERROR(VLOOKUP($B91,'Unit costs'!$B$86:$F$173,5,FALSE)*C75,"")</f>
        <v/>
      </c>
      <c r="D91" s="348" t="str">
        <f>IFERROR(VLOOKUP($B91,'Unit costs'!$B$86:$F$173,5,FALSE)*D75,"")</f>
        <v/>
      </c>
      <c r="E91" s="348" t="str">
        <f>IFERROR(VLOOKUP($B91,'Unit costs'!$B$86:$F$173,5,FALSE)*E75,"")</f>
        <v/>
      </c>
      <c r="F91" s="348" t="str">
        <f>IFERROR(VLOOKUP($B91,'Unit costs'!$B$86:$F$173,5,FALSE)*F75,"")</f>
        <v/>
      </c>
    </row>
    <row r="92" spans="2:6" s="158" customFormat="1" ht="15.75" thickBot="1" x14ac:dyDescent="0.3">
      <c r="B92" s="242">
        <f t="shared" si="6"/>
        <v>0</v>
      </c>
      <c r="C92" s="348" t="str">
        <f>IFERROR(VLOOKUP($B92,'Unit costs'!$B$86:$F$173,5,FALSE)*C76,"")</f>
        <v/>
      </c>
      <c r="D92" s="348" t="str">
        <f>IFERROR(VLOOKUP($B92,'Unit costs'!$B$86:$F$173,5,FALSE)*D76,"")</f>
        <v/>
      </c>
      <c r="E92" s="348" t="str">
        <f>IFERROR(VLOOKUP($B92,'Unit costs'!$B$86:$F$173,5,FALSE)*E76,"")</f>
        <v/>
      </c>
      <c r="F92" s="348" t="str">
        <f>IFERROR(VLOOKUP($B92,'Unit costs'!$B$86:$F$173,5,FALSE)*F76,"")</f>
        <v/>
      </c>
    </row>
    <row r="93" spans="2:6" s="158" customFormat="1" ht="15.75" thickBot="1" x14ac:dyDescent="0.3">
      <c r="B93" s="242">
        <f t="shared" si="6"/>
        <v>0</v>
      </c>
      <c r="C93" s="348" t="str">
        <f>IFERROR(VLOOKUP($B93,'Unit costs'!$B$86:$F$173,5,FALSE)*C77,"")</f>
        <v/>
      </c>
      <c r="D93" s="348" t="str">
        <f>IFERROR(VLOOKUP($B93,'Unit costs'!$B$86:$F$173,5,FALSE)*D77,"")</f>
        <v/>
      </c>
      <c r="E93" s="348" t="str">
        <f>IFERROR(VLOOKUP($B93,'Unit costs'!$B$86:$F$173,5,FALSE)*E77,"")</f>
        <v/>
      </c>
      <c r="F93" s="348" t="str">
        <f>IFERROR(VLOOKUP($B93,'Unit costs'!$B$86:$F$173,5,FALSE)*F77,"")</f>
        <v/>
      </c>
    </row>
    <row r="94" spans="2:6" s="158" customFormat="1" ht="15.75" thickBot="1" x14ac:dyDescent="0.3">
      <c r="B94" s="242">
        <f t="shared" si="6"/>
        <v>0</v>
      </c>
      <c r="C94" s="348" t="str">
        <f>IFERROR(VLOOKUP($B94,'Unit costs'!$B$86:$F$173,5,FALSE)*C78,"")</f>
        <v/>
      </c>
      <c r="D94" s="348" t="str">
        <f>IFERROR(VLOOKUP($B94,'Unit costs'!$B$86:$F$173,5,FALSE)*D78,"")</f>
        <v/>
      </c>
      <c r="E94" s="348" t="str">
        <f>IFERROR(VLOOKUP($B94,'Unit costs'!$B$86:$F$173,5,FALSE)*E78,"")</f>
        <v/>
      </c>
      <c r="F94" s="348" t="str">
        <f>IFERROR(VLOOKUP($B94,'Unit costs'!$B$86:$F$173,5,FALSE)*F78,"")</f>
        <v/>
      </c>
    </row>
    <row r="95" spans="2:6" s="158" customFormat="1" ht="15.75" thickBot="1" x14ac:dyDescent="0.3">
      <c r="B95" s="242">
        <f t="shared" si="6"/>
        <v>0</v>
      </c>
      <c r="C95" s="348" t="str">
        <f>IFERROR(VLOOKUP($B95,'Unit costs'!$B$86:$F$173,5,FALSE)*C79,"")</f>
        <v/>
      </c>
      <c r="D95" s="348" t="str">
        <f>IFERROR(VLOOKUP($B95,'Unit costs'!$B$86:$F$173,5,FALSE)*D79,"")</f>
        <v/>
      </c>
      <c r="E95" s="348" t="str">
        <f>IFERROR(VLOOKUP($B95,'Unit costs'!$B$86:$F$173,5,FALSE)*E79,"")</f>
        <v/>
      </c>
      <c r="F95" s="348" t="str">
        <f>IFERROR(VLOOKUP($B95,'Unit costs'!$B$86:$F$173,5,FALSE)*F79,"")</f>
        <v/>
      </c>
    </row>
    <row r="96" spans="2:6" s="158" customFormat="1" ht="15.75" thickBot="1" x14ac:dyDescent="0.3">
      <c r="B96" s="242">
        <f t="shared" si="6"/>
        <v>0</v>
      </c>
      <c r="C96" s="348" t="str">
        <f>IFERROR(VLOOKUP($B96,'Unit costs'!$B$86:$F$173,5,FALSE)*C80,"")</f>
        <v/>
      </c>
      <c r="D96" s="348" t="str">
        <f>IFERROR(VLOOKUP($B96,'Unit costs'!$B$86:$F$173,5,FALSE)*D80,"")</f>
        <v/>
      </c>
      <c r="E96" s="348" t="str">
        <f>IFERROR(VLOOKUP($B96,'Unit costs'!$B$86:$F$173,5,FALSE)*E80,"")</f>
        <v/>
      </c>
      <c r="F96" s="348" t="str">
        <f>IFERROR(VLOOKUP($B96,'Unit costs'!$B$86:$F$173,5,FALSE)*F80,"")</f>
        <v/>
      </c>
    </row>
    <row r="97" spans="2:12" s="158" customFormat="1" ht="15.75" thickBot="1" x14ac:dyDescent="0.3">
      <c r="B97" s="242">
        <f t="shared" si="6"/>
        <v>0</v>
      </c>
      <c r="C97" s="348" t="str">
        <f>IFERROR(VLOOKUP($B97,'Unit costs'!$B$86:$F$173,5,FALSE)*C81,"")</f>
        <v/>
      </c>
      <c r="D97" s="348" t="str">
        <f>IFERROR(VLOOKUP($B97,'Unit costs'!$B$86:$F$173,5,FALSE)*D81,"")</f>
        <v/>
      </c>
      <c r="E97" s="348" t="str">
        <f>IFERROR(VLOOKUP($B97,'Unit costs'!$B$86:$F$173,5,FALSE)*E81,"")</f>
        <v/>
      </c>
      <c r="F97" s="348" t="str">
        <f>IFERROR(VLOOKUP($B97,'Unit costs'!$B$86:$F$173,5,FALSE)*F81,"")</f>
        <v/>
      </c>
    </row>
    <row r="98" spans="2:12" s="158" customFormat="1" ht="15.75" thickBot="1" x14ac:dyDescent="0.3">
      <c r="B98" s="242">
        <f t="shared" si="6"/>
        <v>0</v>
      </c>
      <c r="C98" s="348" t="str">
        <f>IFERROR(VLOOKUP($B98,'Unit costs'!$B$86:$F$173,5,FALSE)*C82,"")</f>
        <v/>
      </c>
      <c r="D98" s="348" t="str">
        <f>IFERROR(VLOOKUP($B98,'Unit costs'!$B$86:$F$173,5,FALSE)*D82,"")</f>
        <v/>
      </c>
      <c r="E98" s="348" t="str">
        <f>IFERROR(VLOOKUP($B98,'Unit costs'!$B$86:$F$173,5,FALSE)*E82,"")</f>
        <v/>
      </c>
      <c r="F98" s="348" t="str">
        <f>IFERROR(VLOOKUP($B98,'Unit costs'!$B$86:$F$173,5,FALSE)*F82,"")</f>
        <v/>
      </c>
    </row>
    <row r="99" spans="2:12" s="158" customFormat="1" ht="15.75" thickBot="1" x14ac:dyDescent="0.3">
      <c r="B99" s="242">
        <f t="shared" si="6"/>
        <v>0</v>
      </c>
      <c r="C99" s="348" t="str">
        <f>IFERROR(VLOOKUP($B99,'Unit costs'!$B$86:$F$173,5,FALSE)*C83,"")</f>
        <v/>
      </c>
      <c r="D99" s="348" t="str">
        <f>IFERROR(VLOOKUP($B99,'Unit costs'!$B$86:$F$173,5,FALSE)*D83,"")</f>
        <v/>
      </c>
      <c r="E99" s="348" t="str">
        <f>IFERROR(VLOOKUP($B99,'Unit costs'!$B$86:$F$173,5,FALSE)*E83,"")</f>
        <v/>
      </c>
      <c r="F99" s="348" t="str">
        <f>IFERROR(VLOOKUP($B99,'Unit costs'!$B$86:$F$173,5,FALSE)*F83,"")</f>
        <v/>
      </c>
    </row>
    <row r="100" spans="2:12" s="158" customFormat="1" ht="15.75" thickBot="1" x14ac:dyDescent="0.3">
      <c r="B100" s="242">
        <f t="shared" si="6"/>
        <v>0</v>
      </c>
      <c r="C100" s="348" t="str">
        <f>IFERROR(VLOOKUP($B100,'Unit costs'!$B$86:$F$173,5,FALSE)*C84,"")</f>
        <v/>
      </c>
      <c r="D100" s="348" t="str">
        <f>IFERROR(VLOOKUP($B100,'Unit costs'!$B$86:$F$173,5,FALSE)*D84,"")</f>
        <v/>
      </c>
      <c r="E100" s="348" t="str">
        <f>IFERROR(VLOOKUP($B100,'Unit costs'!$B$86:$F$173,5,FALSE)*E84,"")</f>
        <v/>
      </c>
      <c r="F100" s="348" t="str">
        <f>IFERROR(VLOOKUP($B100,'Unit costs'!$B$86:$F$173,5,FALSE)*F84,"")</f>
        <v/>
      </c>
    </row>
    <row r="101" spans="2:12" s="158" customFormat="1" ht="15.75" thickBot="1" x14ac:dyDescent="0.3">
      <c r="B101" s="242">
        <f t="shared" si="6"/>
        <v>0</v>
      </c>
      <c r="C101" s="348" t="str">
        <f>IFERROR(VLOOKUP($B101,'Unit costs'!$B$86:$F$173,5,FALSE)*C85,"")</f>
        <v/>
      </c>
      <c r="D101" s="348" t="str">
        <f>IFERROR(VLOOKUP($B101,'Unit costs'!$B$86:$F$173,5,FALSE)*D85,"")</f>
        <v/>
      </c>
      <c r="E101" s="348" t="str">
        <f>IFERROR(VLOOKUP($B101,'Unit costs'!$B$86:$F$173,5,FALSE)*E85,"")</f>
        <v/>
      </c>
      <c r="F101" s="348" t="str">
        <f>IFERROR(VLOOKUP($B101,'Unit costs'!$B$86:$F$173,5,FALSE)*F85,"")</f>
        <v/>
      </c>
    </row>
    <row r="102" spans="2:12" s="158" customFormat="1" ht="15.75" thickBot="1" x14ac:dyDescent="0.3">
      <c r="B102" s="242">
        <f t="shared" si="6"/>
        <v>0</v>
      </c>
      <c r="C102" s="348" t="str">
        <f>IFERROR(VLOOKUP($B102,'Unit costs'!$B$86:$F$173,5,FALSE)*C86,"")</f>
        <v/>
      </c>
      <c r="D102" s="348" t="str">
        <f>IFERROR(VLOOKUP($B102,'Unit costs'!$B$86:$F$173,5,FALSE)*D86,"")</f>
        <v/>
      </c>
      <c r="E102" s="348" t="str">
        <f>IFERROR(VLOOKUP($B102,'Unit costs'!$B$86:$F$173,5,FALSE)*E86,"")</f>
        <v/>
      </c>
      <c r="F102" s="348" t="str">
        <f>IFERROR(VLOOKUP($B102,'Unit costs'!$B$86:$F$173,5,FALSE)*F86,"")</f>
        <v/>
      </c>
    </row>
    <row r="103" spans="2:12" s="158" customFormat="1" x14ac:dyDescent="0.25">
      <c r="B103" s="243">
        <f t="shared" si="6"/>
        <v>0</v>
      </c>
      <c r="C103" s="348" t="str">
        <f>IFERROR(VLOOKUP($B103,'Unit costs'!$B$86:$F$173,5,FALSE)*C87,"")</f>
        <v/>
      </c>
      <c r="D103" s="348" t="str">
        <f>IFERROR(VLOOKUP($B103,'Unit costs'!$B$86:$F$173,5,FALSE)*D87,"")</f>
        <v/>
      </c>
      <c r="E103" s="348" t="str">
        <f>IFERROR(VLOOKUP($B103,'Unit costs'!$B$86:$F$173,5,FALSE)*E87,"")</f>
        <v/>
      </c>
      <c r="F103" s="348" t="str">
        <f>IFERROR(VLOOKUP($B103,'Unit costs'!$B$86:$F$173,5,FALSE)*F87,"")</f>
        <v/>
      </c>
    </row>
    <row r="104" spans="2:12" x14ac:dyDescent="0.25">
      <c r="B104" s="207"/>
      <c r="C104" s="207"/>
      <c r="D104" s="207"/>
      <c r="E104" s="207"/>
      <c r="F104" s="207"/>
      <c r="G104" s="207"/>
      <c r="H104" s="207"/>
      <c r="I104" s="207"/>
      <c r="J104" s="207"/>
      <c r="K104" s="207"/>
      <c r="L104" s="207"/>
    </row>
    <row r="105" spans="2:12" s="158" customFormat="1" ht="9" customHeight="1" x14ac:dyDescent="0.25">
      <c r="B105" s="120"/>
      <c r="C105" s="120"/>
      <c r="D105" s="120"/>
      <c r="E105" s="120"/>
      <c r="F105" s="120"/>
      <c r="G105" s="120"/>
      <c r="H105" s="120"/>
      <c r="I105" s="120"/>
      <c r="J105" s="120"/>
      <c r="K105" s="120"/>
      <c r="L105" s="120"/>
    </row>
    <row r="106" spans="2:12" s="158" customFormat="1" ht="22.15" customHeight="1" x14ac:dyDescent="0.25">
      <c r="B106" s="445" t="s">
        <v>496</v>
      </c>
      <c r="C106" s="445"/>
      <c r="D106" s="445"/>
      <c r="E106" s="445"/>
      <c r="F106" s="445"/>
      <c r="G106" s="445"/>
      <c r="H106" s="445"/>
      <c r="I106" s="445"/>
      <c r="J106" s="445"/>
      <c r="K106" s="445"/>
      <c r="L106" s="445"/>
    </row>
    <row r="107" spans="2:12" x14ac:dyDescent="0.25">
      <c r="B107" s="211"/>
      <c r="C107" s="211"/>
      <c r="D107" s="211"/>
      <c r="E107" s="220"/>
      <c r="F107" s="111"/>
      <c r="G107" s="111"/>
      <c r="H107" s="111"/>
      <c r="I107" s="111"/>
      <c r="J107" s="119"/>
      <c r="K107" s="119"/>
      <c r="L107" s="119"/>
    </row>
    <row r="108" spans="2:12" ht="19.149999999999999" customHeight="1" x14ac:dyDescent="0.25">
      <c r="B108" s="221" t="s">
        <v>226</v>
      </c>
      <c r="C108" s="222"/>
      <c r="D108" s="223"/>
      <c r="E108" s="223"/>
      <c r="F108" s="112"/>
      <c r="G108" s="112"/>
      <c r="H108" s="280"/>
      <c r="I108" s="280"/>
      <c r="J108" s="280"/>
      <c r="K108" s="280"/>
      <c r="L108" s="280"/>
    </row>
    <row r="109" spans="2:12" ht="45" x14ac:dyDescent="0.25">
      <c r="B109" s="225" t="s">
        <v>319</v>
      </c>
      <c r="C109" s="245" t="s">
        <v>218</v>
      </c>
      <c r="D109" s="245" t="s">
        <v>218</v>
      </c>
      <c r="E109" s="245" t="s">
        <v>212</v>
      </c>
      <c r="F109" s="245" t="s">
        <v>212</v>
      </c>
    </row>
    <row r="110" spans="2:12" x14ac:dyDescent="0.25">
      <c r="B110" s="62" t="s">
        <v>90</v>
      </c>
      <c r="C110" s="11">
        <v>180</v>
      </c>
      <c r="D110" s="11">
        <v>180</v>
      </c>
      <c r="E110" s="11">
        <v>180</v>
      </c>
      <c r="F110" s="11">
        <v>180</v>
      </c>
    </row>
    <row r="111" spans="2:12" x14ac:dyDescent="0.25">
      <c r="B111" s="62"/>
      <c r="C111" s="11">
        <v>0</v>
      </c>
      <c r="D111" s="11">
        <v>0</v>
      </c>
      <c r="E111" s="11">
        <v>0</v>
      </c>
      <c r="F111" s="11">
        <v>0</v>
      </c>
    </row>
    <row r="112" spans="2:12" x14ac:dyDescent="0.25">
      <c r="B112" s="62"/>
      <c r="C112" s="11">
        <v>0</v>
      </c>
      <c r="D112" s="11">
        <v>0</v>
      </c>
      <c r="E112" s="11">
        <v>0</v>
      </c>
      <c r="F112" s="11">
        <v>0</v>
      </c>
    </row>
    <row r="113" spans="2:12" x14ac:dyDescent="0.25">
      <c r="B113" s="62" t="s">
        <v>100</v>
      </c>
      <c r="C113" s="11"/>
      <c r="D113" s="11"/>
      <c r="E113" s="11"/>
      <c r="F113" s="11"/>
    </row>
    <row r="114" spans="2:12" x14ac:dyDescent="0.25">
      <c r="B114" s="62" t="s">
        <v>100</v>
      </c>
      <c r="C114" s="11"/>
      <c r="D114" s="11"/>
      <c r="E114" s="11"/>
      <c r="F114" s="11"/>
    </row>
    <row r="115" spans="2:12" x14ac:dyDescent="0.25">
      <c r="B115" s="62" t="s">
        <v>100</v>
      </c>
      <c r="C115" s="11"/>
      <c r="D115" s="11"/>
      <c r="E115" s="11"/>
      <c r="F115" s="11"/>
    </row>
    <row r="116" spans="2:12" x14ac:dyDescent="0.25">
      <c r="B116" s="62" t="s">
        <v>100</v>
      </c>
      <c r="C116" s="11"/>
      <c r="D116" s="11"/>
      <c r="E116" s="11"/>
      <c r="F116" s="11"/>
    </row>
    <row r="117" spans="2:12" x14ac:dyDescent="0.25">
      <c r="B117" s="62" t="s">
        <v>100</v>
      </c>
      <c r="C117" s="11"/>
      <c r="D117" s="11"/>
      <c r="E117" s="11"/>
      <c r="F117" s="11"/>
    </row>
    <row r="118" spans="2:12" x14ac:dyDescent="0.25">
      <c r="B118" s="55"/>
      <c r="C118" s="56"/>
      <c r="D118" s="56"/>
      <c r="E118" s="56"/>
      <c r="F118" s="56"/>
    </row>
    <row r="119" spans="2:12" x14ac:dyDescent="0.25">
      <c r="B119" s="221" t="s">
        <v>513</v>
      </c>
      <c r="C119" s="56"/>
      <c r="D119" s="56"/>
      <c r="E119" s="56"/>
      <c r="F119" s="56"/>
    </row>
    <row r="120" spans="2:12" x14ac:dyDescent="0.25">
      <c r="B120" s="10" t="str">
        <f t="shared" ref="B120:B127" si="7">B110</f>
        <v>Courier</v>
      </c>
      <c r="C120" s="340">
        <f>IFERROR((((VLOOKUP($B120,'Drop Down Master List'!$K$46:$L$49,2,FALSE))*C110/60)/'Set up'!$C$18),"")</f>
        <v>0.4838709677419355</v>
      </c>
      <c r="D120" s="340">
        <f>IFERROR((((VLOOKUP($B120,'Drop Down Master List'!$K$46:$L$49,2,FALSE))*D110/60)/'Set up'!$C$19),"")</f>
        <v>0.4838709677419355</v>
      </c>
      <c r="E120" s="340">
        <f>IFERROR((((VLOOKUP($B120,'Drop Down Master List'!$K$46:$L$49,2,FALSE))*E110/60)/'Set up'!$C$20),"")</f>
        <v>0.5357142857142857</v>
      </c>
      <c r="F120" s="340">
        <f>IFERROR((((VLOOKUP($B120,'Drop Down Master List'!$K$46:$L$49,2,FALSE))*F110/60)/'Set up'!$C$21),"")</f>
        <v>0.5357142857142857</v>
      </c>
    </row>
    <row r="121" spans="2:12" x14ac:dyDescent="0.25">
      <c r="B121" s="10">
        <f t="shared" si="7"/>
        <v>0</v>
      </c>
      <c r="C121" s="340" t="str">
        <f>IFERROR((((VLOOKUP($B121,'Drop Down Master List'!$K$46:$L$49,2,FALSE))*C111/60)/'Set up'!$C$18),"")</f>
        <v/>
      </c>
      <c r="D121" s="340" t="str">
        <f>IFERROR((((VLOOKUP($B121,'Drop Down Master List'!$K$46:$L$49,2,FALSE))*D111/60)/'Set up'!$C$19),"")</f>
        <v/>
      </c>
      <c r="E121" s="340" t="str">
        <f>IFERROR((((VLOOKUP($B121,'Drop Down Master List'!$K$46:$L$49,2,FALSE))*E111/60)/'Set up'!$C$20),"")</f>
        <v/>
      </c>
      <c r="F121" s="340" t="str">
        <f>IFERROR((((VLOOKUP($B121,'Drop Down Master List'!$K$46:$L$49,2,FALSE))*F111/60)/'Set up'!$C$21),"")</f>
        <v/>
      </c>
    </row>
    <row r="122" spans="2:12" x14ac:dyDescent="0.25">
      <c r="B122" s="10">
        <f t="shared" si="7"/>
        <v>0</v>
      </c>
      <c r="C122" s="340" t="str">
        <f>IFERROR((((VLOOKUP($B122,'Drop Down Master List'!$K$46:$L$49,2,FALSE))*C112/60)/'Set up'!$C$18),"")</f>
        <v/>
      </c>
      <c r="D122" s="340" t="str">
        <f>IFERROR((((VLOOKUP($B122,'Drop Down Master List'!$K$46:$L$49,2,FALSE))*D112/60)/'Set up'!$C$19),"")</f>
        <v/>
      </c>
      <c r="E122" s="340" t="str">
        <f>IFERROR((((VLOOKUP($B122,'Drop Down Master List'!$K$46:$L$49,2,FALSE))*E112/60)/'Set up'!$C$20),"")</f>
        <v/>
      </c>
      <c r="F122" s="340" t="str">
        <f>IFERROR((((VLOOKUP($B122,'Drop Down Master List'!$K$46:$L$49,2,FALSE))*F112/60)/'Set up'!$C$21),"")</f>
        <v/>
      </c>
    </row>
    <row r="123" spans="2:12" x14ac:dyDescent="0.25">
      <c r="B123" s="10" t="str">
        <f t="shared" si="7"/>
        <v>Other personnel</v>
      </c>
      <c r="C123" s="340" t="str">
        <f>IFERROR((((VLOOKUP($B123,'Drop Down Master List'!$K$46:$L$49,2,FALSE))*C113/60)/'Set up'!$C$18),"")</f>
        <v/>
      </c>
      <c r="D123" s="340" t="str">
        <f>IFERROR((((VLOOKUP($B123,'Drop Down Master List'!$K$46:$L$49,2,FALSE))*D113/60)/'Set up'!$C$19),"")</f>
        <v/>
      </c>
      <c r="E123" s="340" t="str">
        <f>IFERROR((((VLOOKUP($B123,'Drop Down Master List'!$K$46:$L$49,2,FALSE))*E113/60)/'Set up'!$C$20),"")</f>
        <v/>
      </c>
      <c r="F123" s="340" t="str">
        <f>IFERROR((((VLOOKUP($B123,'Drop Down Master List'!$K$46:$L$49,2,FALSE))*F113/60)/'Set up'!$C$21),"")</f>
        <v/>
      </c>
    </row>
    <row r="124" spans="2:12" x14ac:dyDescent="0.25">
      <c r="B124" s="10" t="str">
        <f t="shared" si="7"/>
        <v>Other personnel</v>
      </c>
      <c r="C124" s="340" t="str">
        <f>IFERROR((((VLOOKUP($B124,'Drop Down Master List'!$K$46:$L$49,2,FALSE))*C114/60)/'Set up'!$C$18),"")</f>
        <v/>
      </c>
      <c r="D124" s="340" t="str">
        <f>IFERROR((((VLOOKUP($B124,'Drop Down Master List'!$K$46:$L$49,2,FALSE))*D114/60)/'Set up'!$C$19),"")</f>
        <v/>
      </c>
      <c r="E124" s="340" t="str">
        <f>IFERROR((((VLOOKUP($B124,'Drop Down Master List'!$K$46:$L$49,2,FALSE))*E114/60)/'Set up'!$C$20),"")</f>
        <v/>
      </c>
      <c r="F124" s="340" t="str">
        <f>IFERROR((((VLOOKUP($B124,'Drop Down Master List'!$K$46:$L$49,2,FALSE))*F114/60)/'Set up'!$C$21),"")</f>
        <v/>
      </c>
    </row>
    <row r="125" spans="2:12" x14ac:dyDescent="0.25">
      <c r="B125" s="10" t="str">
        <f t="shared" si="7"/>
        <v>Other personnel</v>
      </c>
      <c r="C125" s="340" t="str">
        <f>IFERROR((((VLOOKUP($B125,'Drop Down Master List'!$K$46:$L$49,2,FALSE))*C115/60)/'Set up'!$C$18),"")</f>
        <v/>
      </c>
      <c r="D125" s="340" t="str">
        <f>IFERROR((((VLOOKUP($B125,'Drop Down Master List'!$K$46:$L$49,2,FALSE))*D115/60)/'Set up'!$C$19),"")</f>
        <v/>
      </c>
      <c r="E125" s="340" t="str">
        <f>IFERROR((((VLOOKUP($B125,'Drop Down Master List'!$K$46:$L$49,2,FALSE))*E115/60)/'Set up'!$C$20),"")</f>
        <v/>
      </c>
      <c r="F125" s="340" t="str">
        <f>IFERROR((((VLOOKUP($B125,'Drop Down Master List'!$K$46:$L$49,2,FALSE))*F115/60)/'Set up'!$C$21),"")</f>
        <v/>
      </c>
    </row>
    <row r="126" spans="2:12" x14ac:dyDescent="0.25">
      <c r="B126" s="10" t="str">
        <f t="shared" si="7"/>
        <v>Other personnel</v>
      </c>
      <c r="C126" s="340" t="str">
        <f>IFERROR((((VLOOKUP($B126,'Drop Down Master List'!$K$46:$L$49,2,FALSE))*C116/60)/'Set up'!$C$18),"")</f>
        <v/>
      </c>
      <c r="D126" s="340" t="str">
        <f>IFERROR((((VLOOKUP($B126,'Drop Down Master List'!$K$46:$L$49,2,FALSE))*D116/60)/'Set up'!$C$19),"")</f>
        <v/>
      </c>
      <c r="E126" s="340" t="str">
        <f>IFERROR((((VLOOKUP($B126,'Drop Down Master List'!$K$46:$L$49,2,FALSE))*E116/60)/'Set up'!$C$20),"")</f>
        <v/>
      </c>
      <c r="F126" s="340" t="str">
        <f>IFERROR((((VLOOKUP($B126,'Drop Down Master List'!$K$46:$L$49,2,FALSE))*F116/60)/'Set up'!$C$21),"")</f>
        <v/>
      </c>
    </row>
    <row r="127" spans="2:12" x14ac:dyDescent="0.25">
      <c r="B127" s="10" t="str">
        <f t="shared" si="7"/>
        <v>Other personnel</v>
      </c>
      <c r="C127" s="340" t="str">
        <f>IFERROR((((VLOOKUP($B127,'Drop Down Master List'!$K$46:$L$49,2,FALSE))*C117/60)/'Set up'!$C$18),"")</f>
        <v/>
      </c>
      <c r="D127" s="340" t="str">
        <f>IFERROR((((VLOOKUP($B127,'Drop Down Master List'!$K$46:$L$49,2,FALSE))*D117/60)/'Set up'!$C$19),"")</f>
        <v/>
      </c>
      <c r="E127" s="340" t="str">
        <f>IFERROR((((VLOOKUP($B127,'Drop Down Master List'!$K$46:$L$49,2,FALSE))*E117/60)/'Set up'!$C$20),"")</f>
        <v/>
      </c>
      <c r="F127" s="340" t="str">
        <f>IFERROR((((VLOOKUP($B127,'Drop Down Master List'!$K$46:$L$49,2,FALSE))*F117/60)/'Set up'!$C$21),"")</f>
        <v/>
      </c>
    </row>
    <row r="128" spans="2:12" x14ac:dyDescent="0.25">
      <c r="B128" s="55"/>
      <c r="C128" s="56"/>
      <c r="D128" s="56"/>
      <c r="E128" s="56"/>
      <c r="F128" s="56"/>
      <c r="G128" s="56"/>
      <c r="H128" s="229"/>
      <c r="I128" s="229"/>
      <c r="J128" s="74"/>
      <c r="K128" s="229"/>
      <c r="L128" s="229"/>
    </row>
    <row r="129" spans="2:13" ht="15.75" thickBot="1" x14ac:dyDescent="0.3">
      <c r="B129" s="289" t="s">
        <v>526</v>
      </c>
      <c r="C129" s="165"/>
      <c r="D129" s="165"/>
      <c r="E129" s="165"/>
      <c r="F129" s="165"/>
      <c r="G129" s="165"/>
      <c r="H129" s="165"/>
      <c r="I129" s="165"/>
      <c r="J129" s="165"/>
      <c r="K129" s="165"/>
      <c r="L129" s="165"/>
    </row>
    <row r="130" spans="2:13" ht="15.6" customHeight="1" thickBot="1" x14ac:dyDescent="0.3">
      <c r="B130" s="490" t="s">
        <v>356</v>
      </c>
      <c r="C130" s="488" t="s">
        <v>524</v>
      </c>
      <c r="D130" s="488" t="s">
        <v>361</v>
      </c>
      <c r="E130" s="488" t="s">
        <v>365</v>
      </c>
      <c r="F130" s="488" t="s">
        <v>362</v>
      </c>
      <c r="G130" s="488" t="s">
        <v>87</v>
      </c>
      <c r="H130" s="488" t="s">
        <v>88</v>
      </c>
      <c r="I130" s="488" t="s">
        <v>370</v>
      </c>
      <c r="J130" s="486" t="s">
        <v>525</v>
      </c>
      <c r="K130" s="487"/>
      <c r="L130" s="487"/>
      <c r="M130" s="487"/>
    </row>
    <row r="131" spans="2:13" ht="43.9" customHeight="1" thickBot="1" x14ac:dyDescent="0.3">
      <c r="B131" s="491"/>
      <c r="C131" s="489"/>
      <c r="D131" s="489"/>
      <c r="E131" s="489"/>
      <c r="F131" s="489"/>
      <c r="G131" s="489"/>
      <c r="H131" s="489"/>
      <c r="I131" s="489"/>
      <c r="J131" s="282" t="str">
        <f>'Set up'!B18</f>
        <v>Abbott M2000 RealTime</v>
      </c>
      <c r="K131" s="282" t="str">
        <f>'Set up'!B19</f>
        <v>Abbott M2000 RealTime</v>
      </c>
      <c r="L131" s="282" t="str">
        <f>'Set up'!B20</f>
        <v>Roche COBAS Ampliprep/TaqMan 48</v>
      </c>
      <c r="M131" s="418" t="str">
        <f>'Set up'!B21</f>
        <v>Roche COBAS Ampliprep/TaqMan 48</v>
      </c>
    </row>
    <row r="132" spans="2:13" x14ac:dyDescent="0.25">
      <c r="B132" s="284"/>
      <c r="C132" s="285"/>
      <c r="D132" s="286"/>
      <c r="E132" s="286"/>
      <c r="F132" s="286"/>
      <c r="G132" s="286"/>
      <c r="H132" s="370">
        <f>C132*0.05</f>
        <v>0</v>
      </c>
      <c r="I132" s="370">
        <f>(C132+H132)/5</f>
        <v>0</v>
      </c>
      <c r="J132" s="370">
        <f>IFERROR($I132/'Set up'!$D$18,"")</f>
        <v>0</v>
      </c>
      <c r="K132" s="370">
        <f>IFERROR($I132/'Set up'!$D$19,"")</f>
        <v>0</v>
      </c>
      <c r="L132" s="370">
        <f>IFERROR($I132/'Set up'!$D$20,"")</f>
        <v>0</v>
      </c>
      <c r="M132" s="370">
        <f>IFERROR($I132/'Set up'!$D$21,"")</f>
        <v>0</v>
      </c>
    </row>
    <row r="133" spans="2:13" x14ac:dyDescent="0.25">
      <c r="B133" s="160"/>
      <c r="C133" s="285"/>
      <c r="D133" s="257"/>
      <c r="E133" s="257"/>
      <c r="F133" s="257"/>
      <c r="G133" s="286"/>
      <c r="H133" s="370">
        <f t="shared" ref="H133:H140" si="8">C133*0.05</f>
        <v>0</v>
      </c>
      <c r="I133" s="370">
        <f t="shared" ref="I133:I140" si="9">(C133+H133)/5</f>
        <v>0</v>
      </c>
      <c r="J133" s="370">
        <f>IFERROR($I133/'Set up'!$D$18,"")</f>
        <v>0</v>
      </c>
      <c r="K133" s="370">
        <f>IFERROR($I133/'Set up'!$D$19,"")</f>
        <v>0</v>
      </c>
      <c r="L133" s="370">
        <f>IFERROR($I133/'Set up'!$D$20,"")</f>
        <v>0</v>
      </c>
      <c r="M133" s="370">
        <f>IFERROR($I133/'Set up'!$D$21,"")</f>
        <v>0</v>
      </c>
    </row>
    <row r="134" spans="2:13" x14ac:dyDescent="0.25">
      <c r="B134" s="160"/>
      <c r="C134" s="285"/>
      <c r="D134" s="257"/>
      <c r="E134" s="257"/>
      <c r="F134" s="257"/>
      <c r="G134" s="286"/>
      <c r="H134" s="370">
        <f t="shared" si="8"/>
        <v>0</v>
      </c>
      <c r="I134" s="370">
        <f t="shared" si="9"/>
        <v>0</v>
      </c>
      <c r="J134" s="370">
        <f>IFERROR($I134/'Set up'!$D$18,"")</f>
        <v>0</v>
      </c>
      <c r="K134" s="370">
        <f>IFERROR($I134/'Set up'!$D$19,"")</f>
        <v>0</v>
      </c>
      <c r="L134" s="370">
        <f>IFERROR($I134/'Set up'!$D$20,"")</f>
        <v>0</v>
      </c>
      <c r="M134" s="370">
        <f>IFERROR($I134/'Set up'!$D$21,"")</f>
        <v>0</v>
      </c>
    </row>
    <row r="135" spans="2:13" x14ac:dyDescent="0.25">
      <c r="B135" s="160"/>
      <c r="C135" s="285"/>
      <c r="D135" s="257"/>
      <c r="E135" s="257"/>
      <c r="F135" s="257"/>
      <c r="G135" s="286"/>
      <c r="H135" s="370">
        <f t="shared" si="8"/>
        <v>0</v>
      </c>
      <c r="I135" s="370">
        <f t="shared" si="9"/>
        <v>0</v>
      </c>
      <c r="J135" s="370">
        <f>IFERROR($I135/'Set up'!$D$18,"")</f>
        <v>0</v>
      </c>
      <c r="K135" s="370">
        <f>IFERROR($I135/'Set up'!$D$19,"")</f>
        <v>0</v>
      </c>
      <c r="L135" s="370">
        <f>IFERROR($I135/'Set up'!$D$20,"")</f>
        <v>0</v>
      </c>
      <c r="M135" s="370">
        <f>IFERROR($I135/'Set up'!$D$21,"")</f>
        <v>0</v>
      </c>
    </row>
    <row r="136" spans="2:13" x14ac:dyDescent="0.25">
      <c r="B136" s="160"/>
      <c r="C136" s="285"/>
      <c r="D136" s="257"/>
      <c r="E136" s="257"/>
      <c r="F136" s="257"/>
      <c r="G136" s="286"/>
      <c r="H136" s="370">
        <f t="shared" si="8"/>
        <v>0</v>
      </c>
      <c r="I136" s="370">
        <f t="shared" si="9"/>
        <v>0</v>
      </c>
      <c r="J136" s="370">
        <f>IFERROR($I136/'Set up'!$D$18,"")</f>
        <v>0</v>
      </c>
      <c r="K136" s="370">
        <f>IFERROR($I136/'Set up'!$D$19,"")</f>
        <v>0</v>
      </c>
      <c r="L136" s="370">
        <f>IFERROR($I136/'Set up'!$D$20,"")</f>
        <v>0</v>
      </c>
      <c r="M136" s="370">
        <f>IFERROR($I136/'Set up'!$D$21,"")</f>
        <v>0</v>
      </c>
    </row>
    <row r="137" spans="2:13" x14ac:dyDescent="0.25">
      <c r="B137" s="160"/>
      <c r="C137" s="285"/>
      <c r="D137" s="257"/>
      <c r="E137" s="257"/>
      <c r="F137" s="257"/>
      <c r="G137" s="286"/>
      <c r="H137" s="370">
        <f t="shared" si="8"/>
        <v>0</v>
      </c>
      <c r="I137" s="370">
        <f t="shared" si="9"/>
        <v>0</v>
      </c>
      <c r="J137" s="370">
        <f>IFERROR($I137/'Set up'!$D$18,"")</f>
        <v>0</v>
      </c>
      <c r="K137" s="370">
        <f>IFERROR($I137/'Set up'!$D$19,"")</f>
        <v>0</v>
      </c>
      <c r="L137" s="370">
        <f>IFERROR($I137/'Set up'!$D$20,"")</f>
        <v>0</v>
      </c>
      <c r="M137" s="370">
        <f>IFERROR($I137/'Set up'!$D$21,"")</f>
        <v>0</v>
      </c>
    </row>
    <row r="138" spans="2:13" x14ac:dyDescent="0.25">
      <c r="B138" s="160"/>
      <c r="C138" s="285"/>
      <c r="D138" s="257"/>
      <c r="E138" s="257"/>
      <c r="F138" s="257"/>
      <c r="G138" s="286"/>
      <c r="H138" s="370">
        <f t="shared" si="8"/>
        <v>0</v>
      </c>
      <c r="I138" s="370">
        <f t="shared" si="9"/>
        <v>0</v>
      </c>
      <c r="J138" s="370">
        <f>IFERROR($I138/'Set up'!$D$18,"")</f>
        <v>0</v>
      </c>
      <c r="K138" s="370">
        <f>IFERROR($I138/'Set up'!$D$19,"")</f>
        <v>0</v>
      </c>
      <c r="L138" s="370">
        <f>IFERROR($I138/'Set up'!$D$20,"")</f>
        <v>0</v>
      </c>
      <c r="M138" s="370">
        <f>IFERROR($I138/'Set up'!$D$21,"")</f>
        <v>0</v>
      </c>
    </row>
    <row r="139" spans="2:13" x14ac:dyDescent="0.25">
      <c r="B139" s="160"/>
      <c r="C139" s="285"/>
      <c r="D139" s="257"/>
      <c r="E139" s="257"/>
      <c r="F139" s="257"/>
      <c r="G139" s="286"/>
      <c r="H139" s="370">
        <f t="shared" si="8"/>
        <v>0</v>
      </c>
      <c r="I139" s="370">
        <f t="shared" si="9"/>
        <v>0</v>
      </c>
      <c r="J139" s="370">
        <f>IFERROR($I139/'Set up'!$D$18,"")</f>
        <v>0</v>
      </c>
      <c r="K139" s="370">
        <f>IFERROR($I139/'Set up'!$D$19,"")</f>
        <v>0</v>
      </c>
      <c r="L139" s="370">
        <f>IFERROR($I139/'Set up'!$D$20,"")</f>
        <v>0</v>
      </c>
      <c r="M139" s="370">
        <f>IFERROR($I139/'Set up'!$D$21,"")</f>
        <v>0</v>
      </c>
    </row>
    <row r="140" spans="2:13" x14ac:dyDescent="0.25">
      <c r="B140" s="160"/>
      <c r="C140" s="285"/>
      <c r="D140" s="257"/>
      <c r="E140" s="257"/>
      <c r="F140" s="257"/>
      <c r="G140" s="286"/>
      <c r="H140" s="370">
        <f t="shared" si="8"/>
        <v>0</v>
      </c>
      <c r="I140" s="370">
        <f t="shared" si="9"/>
        <v>0</v>
      </c>
      <c r="J140" s="370">
        <f>IFERROR($I140/'Set up'!$D$18,"")</f>
        <v>0</v>
      </c>
      <c r="K140" s="370">
        <f>IFERROR($I140/'Set up'!$D$19,"")</f>
        <v>0</v>
      </c>
      <c r="L140" s="370">
        <f>IFERROR($I140/'Set up'!$D$20,"")</f>
        <v>0</v>
      </c>
      <c r="M140" s="370">
        <f>IFERROR($I140/'Set up'!$D$21,"")</f>
        <v>0</v>
      </c>
    </row>
    <row r="141" spans="2:13" ht="28.9" customHeight="1" thickBot="1" x14ac:dyDescent="0.3">
      <c r="B141" s="446" t="s">
        <v>510</v>
      </c>
      <c r="C141" s="446"/>
      <c r="D141" s="446"/>
      <c r="E141" s="446"/>
      <c r="F141" s="446"/>
      <c r="G141" s="232"/>
      <c r="H141" s="232"/>
      <c r="I141" s="232"/>
      <c r="J141" s="232"/>
      <c r="K141" s="232"/>
      <c r="L141" s="232"/>
    </row>
    <row r="142" spans="2:13" ht="46.15" customHeight="1" x14ac:dyDescent="0.25">
      <c r="B142" s="233" t="s">
        <v>320</v>
      </c>
      <c r="C142" s="246" t="str">
        <f>'Set up'!B18</f>
        <v>Abbott M2000 RealTime</v>
      </c>
      <c r="D142" s="246" t="str">
        <f>'Set up'!B19</f>
        <v>Abbott M2000 RealTime</v>
      </c>
      <c r="E142" s="246" t="str">
        <f>'Set up'!B20</f>
        <v>Roche COBAS Ampliprep/TaqMan 48</v>
      </c>
      <c r="F142" s="246" t="str">
        <f>'Set up'!$B21</f>
        <v>Roche COBAS Ampliprep/TaqMan 48</v>
      </c>
    </row>
    <row r="143" spans="2:13" x14ac:dyDescent="0.25">
      <c r="B143" s="235" t="s">
        <v>59</v>
      </c>
      <c r="C143" s="257">
        <f>'Set up'!$D$18</f>
        <v>46500</v>
      </c>
      <c r="D143" s="257">
        <f>'Set up'!$D$19</f>
        <v>46500</v>
      </c>
      <c r="E143" s="257">
        <f>'Set up'!$D$20</f>
        <v>42000</v>
      </c>
      <c r="F143" s="257">
        <f>'Set up'!$D$20</f>
        <v>42000</v>
      </c>
    </row>
    <row r="144" spans="2:13" x14ac:dyDescent="0.25">
      <c r="B144" s="235" t="s">
        <v>63</v>
      </c>
      <c r="C144" s="257">
        <f>'Set up'!$D$18</f>
        <v>46500</v>
      </c>
      <c r="D144" s="257">
        <f>'Set up'!$D$19</f>
        <v>46500</v>
      </c>
      <c r="E144" s="257">
        <f>'Set up'!$D$20</f>
        <v>42000</v>
      </c>
      <c r="F144" s="257">
        <f>'Set up'!$D$20</f>
        <v>42000</v>
      </c>
    </row>
    <row r="145" spans="2:6" x14ac:dyDescent="0.25">
      <c r="B145" s="235" t="s">
        <v>86</v>
      </c>
      <c r="C145" s="257">
        <f>'Set up'!$D$18</f>
        <v>46500</v>
      </c>
      <c r="D145" s="257">
        <f>'Set up'!$D$19</f>
        <v>46500</v>
      </c>
      <c r="E145" s="257">
        <f>'Set up'!$D$20</f>
        <v>42000</v>
      </c>
      <c r="F145" s="257">
        <f>'Set up'!$D$20</f>
        <v>42000</v>
      </c>
    </row>
    <row r="146" spans="2:6" x14ac:dyDescent="0.25">
      <c r="B146" s="235" t="s">
        <v>86</v>
      </c>
      <c r="C146" s="257">
        <f>'Set up'!$D$18</f>
        <v>46500</v>
      </c>
      <c r="D146" s="257">
        <f>'Set up'!$D$19</f>
        <v>46500</v>
      </c>
      <c r="E146" s="257">
        <f>'Set up'!$D$20</f>
        <v>42000</v>
      </c>
      <c r="F146" s="257">
        <f>'Set up'!$D$20</f>
        <v>42000</v>
      </c>
    </row>
    <row r="147" spans="2:6" x14ac:dyDescent="0.25">
      <c r="B147" s="235" t="s">
        <v>86</v>
      </c>
      <c r="C147" s="257">
        <f>'Set up'!$D$18</f>
        <v>46500</v>
      </c>
      <c r="D147" s="257">
        <f>'Set up'!$D$19</f>
        <v>46500</v>
      </c>
      <c r="E147" s="257">
        <f>'Set up'!$D$20</f>
        <v>42000</v>
      </c>
      <c r="F147" s="257">
        <f>'Set up'!$D$20</f>
        <v>42000</v>
      </c>
    </row>
    <row r="148" spans="2:6" x14ac:dyDescent="0.25">
      <c r="B148" s="235" t="s">
        <v>86</v>
      </c>
      <c r="C148" s="257">
        <f>'Set up'!$D$18</f>
        <v>46500</v>
      </c>
      <c r="D148" s="257">
        <f>'Set up'!$D$19</f>
        <v>46500</v>
      </c>
      <c r="E148" s="257">
        <f>'Set up'!$D$20</f>
        <v>42000</v>
      </c>
      <c r="F148" s="257">
        <f>'Set up'!$D$20</f>
        <v>42000</v>
      </c>
    </row>
    <row r="149" spans="2:6" x14ac:dyDescent="0.25">
      <c r="B149" s="235" t="s">
        <v>86</v>
      </c>
      <c r="C149" s="257">
        <f>'Set up'!$D$18</f>
        <v>46500</v>
      </c>
      <c r="D149" s="257">
        <f>'Set up'!$D$19</f>
        <v>46500</v>
      </c>
      <c r="E149" s="257">
        <f>'Set up'!$D$20</f>
        <v>42000</v>
      </c>
      <c r="F149" s="257">
        <f>'Set up'!$D$20</f>
        <v>42000</v>
      </c>
    </row>
    <row r="150" spans="2:6" x14ac:dyDescent="0.25">
      <c r="B150" s="235" t="s">
        <v>86</v>
      </c>
      <c r="C150" s="257">
        <f>'Set up'!$D$18</f>
        <v>46500</v>
      </c>
      <c r="D150" s="257">
        <f>'Set up'!$D$19</f>
        <v>46500</v>
      </c>
      <c r="E150" s="257">
        <f>'Set up'!$D$20</f>
        <v>42000</v>
      </c>
      <c r="F150" s="257">
        <f>'Set up'!$D$20</f>
        <v>42000</v>
      </c>
    </row>
    <row r="151" spans="2:6" x14ac:dyDescent="0.25">
      <c r="B151" s="231"/>
      <c r="C151" s="231"/>
      <c r="D151" s="231"/>
      <c r="E151" s="231"/>
      <c r="F151" s="231"/>
    </row>
    <row r="152" spans="2:6" ht="15.75" thickBot="1" x14ac:dyDescent="0.3">
      <c r="B152" s="446" t="s">
        <v>509</v>
      </c>
      <c r="C152" s="446"/>
      <c r="D152" s="446"/>
      <c r="E152" s="446"/>
      <c r="F152" s="446"/>
    </row>
    <row r="153" spans="2:6" x14ac:dyDescent="0.25">
      <c r="B153" s="237" t="str">
        <f t="shared" ref="B153:B160" si="10">B143</f>
        <v>Cooler boxes</v>
      </c>
      <c r="C153" s="352">
        <f>IFERROR(VLOOKUP($B153,'Unit costs'!$B$178:$C$206,2,FALSE)/$C143,"")</f>
        <v>3.1182795698924733E-3</v>
      </c>
      <c r="D153" s="352">
        <f>IFERROR(VLOOKUP($B153,'Unit costs'!$B$178:$C$206,2,FALSE)/$D143,"")</f>
        <v>3.1182795698924733E-3</v>
      </c>
      <c r="E153" s="352">
        <f>IFERROR(VLOOKUP($B153,'Unit costs'!$B$178:$C$206,2,FALSE)/E143,"")</f>
        <v>3.4523809523809524E-3</v>
      </c>
      <c r="F153" s="352">
        <f>IFERROR(VLOOKUP($B153,'Unit costs'!$B$178:$C$206,2,FALSE)/F143,"")</f>
        <v>3.4523809523809524E-3</v>
      </c>
    </row>
    <row r="154" spans="2:6" x14ac:dyDescent="0.25">
      <c r="B154" s="237" t="str">
        <f t="shared" si="10"/>
        <v>Mobile phones</v>
      </c>
      <c r="C154" s="352">
        <f>IFERROR(VLOOKUP($B154,'Unit costs'!$B$178:$C$206,2,FALSE)/$C144,"")</f>
        <v>1.0752688172043011E-3</v>
      </c>
      <c r="D154" s="352">
        <f>IFERROR(VLOOKUP($B154,'Unit costs'!$B$178:$C$206,2,FALSE)/$D144,"")</f>
        <v>1.0752688172043011E-3</v>
      </c>
      <c r="E154" s="352">
        <f>IFERROR(VLOOKUP($B154,'Unit costs'!$B$178:$C$206,2,FALSE)/E144,"")</f>
        <v>1.1904761904761906E-3</v>
      </c>
      <c r="F154" s="352">
        <f>IFERROR(VLOOKUP($B154,'Unit costs'!$B$178:$C$206,2,FALSE)/F144,"")</f>
        <v>1.1904761904761906E-3</v>
      </c>
    </row>
    <row r="155" spans="2:6" x14ac:dyDescent="0.25">
      <c r="B155" s="237" t="str">
        <f t="shared" si="10"/>
        <v>Other</v>
      </c>
      <c r="C155" s="352">
        <f>IFERROR(VLOOKUP($B155,'Unit costs'!$B$178:$C$206,2,FALSE)/$C145,"")</f>
        <v>0</v>
      </c>
      <c r="D155" s="352">
        <f>IFERROR(VLOOKUP($B155,'Unit costs'!$B$178:$C$206,2,FALSE)/$D145,"")</f>
        <v>0</v>
      </c>
      <c r="E155" s="352">
        <f>IFERROR(VLOOKUP($B155,'Unit costs'!$B$178:$C$206,2,FALSE)/E145,"")</f>
        <v>0</v>
      </c>
      <c r="F155" s="352">
        <f>IFERROR(VLOOKUP($B155,'Unit costs'!$B$178:$C$206,2,FALSE)/F145,"")</f>
        <v>0</v>
      </c>
    </row>
    <row r="156" spans="2:6" x14ac:dyDescent="0.25">
      <c r="B156" s="237" t="str">
        <f t="shared" si="10"/>
        <v>Other</v>
      </c>
      <c r="C156" s="352">
        <f>IFERROR(VLOOKUP($B156,'Unit costs'!$B$178:$C$206,2,FALSE)/$C146,"")</f>
        <v>0</v>
      </c>
      <c r="D156" s="352">
        <f>IFERROR(VLOOKUP($B156,'Unit costs'!$B$178:$C$206,2,FALSE)/$D146,"")</f>
        <v>0</v>
      </c>
      <c r="E156" s="352">
        <f>IFERROR(VLOOKUP($B156,'Unit costs'!$B$178:$C$206,2,FALSE)/E146,"")</f>
        <v>0</v>
      </c>
      <c r="F156" s="352">
        <f>IFERROR(VLOOKUP($B156,'Unit costs'!$B$178:$C$206,2,FALSE)/F146,"")</f>
        <v>0</v>
      </c>
    </row>
    <row r="157" spans="2:6" x14ac:dyDescent="0.25">
      <c r="B157" s="237" t="str">
        <f t="shared" si="10"/>
        <v>Other</v>
      </c>
      <c r="C157" s="352">
        <f>IFERROR(VLOOKUP($B157,'Unit costs'!$B$178:$C$206,2,FALSE)/$C147,"")</f>
        <v>0</v>
      </c>
      <c r="D157" s="352">
        <f>IFERROR(VLOOKUP($B157,'Unit costs'!$B$178:$C$206,2,FALSE)/$D147,"")</f>
        <v>0</v>
      </c>
      <c r="E157" s="352">
        <f>IFERROR(VLOOKUP($B157,'Unit costs'!$B$178:$C$206,2,FALSE)/E147,"")</f>
        <v>0</v>
      </c>
      <c r="F157" s="352">
        <f>IFERROR(VLOOKUP($B157,'Unit costs'!$B$178:$C$206,2,FALSE)/F147,"")</f>
        <v>0</v>
      </c>
    </row>
    <row r="158" spans="2:6" x14ac:dyDescent="0.25">
      <c r="B158" s="237" t="str">
        <f t="shared" si="10"/>
        <v>Other</v>
      </c>
      <c r="C158" s="352">
        <f>IFERROR(VLOOKUP($B158,'Unit costs'!$B$178:$C$206,2,FALSE)/$C148,"")</f>
        <v>0</v>
      </c>
      <c r="D158" s="352">
        <f>IFERROR(VLOOKUP($B158,'Unit costs'!$B$178:$C$206,2,FALSE)/$D148,"")</f>
        <v>0</v>
      </c>
      <c r="E158" s="352">
        <f>IFERROR(VLOOKUP($B158,'Unit costs'!$B$178:$C$206,2,FALSE)/E148,"")</f>
        <v>0</v>
      </c>
      <c r="F158" s="352">
        <f>IFERROR(VLOOKUP($B158,'Unit costs'!$B$178:$C$206,2,FALSE)/F148,"")</f>
        <v>0</v>
      </c>
    </row>
    <row r="159" spans="2:6" x14ac:dyDescent="0.25">
      <c r="B159" s="237" t="str">
        <f t="shared" si="10"/>
        <v>Other</v>
      </c>
      <c r="C159" s="352">
        <f>IFERROR(VLOOKUP($B159,'Unit costs'!$B$178:$C$206,2,FALSE)/$C149,"")</f>
        <v>0</v>
      </c>
      <c r="D159" s="352">
        <f>IFERROR(VLOOKUP($B159,'Unit costs'!$B$178:$C$206,2,FALSE)/$D149,"")</f>
        <v>0</v>
      </c>
      <c r="E159" s="352">
        <f>IFERROR(VLOOKUP($B159,'Unit costs'!$B$178:$C$206,2,FALSE)/E149,"")</f>
        <v>0</v>
      </c>
      <c r="F159" s="352">
        <f>IFERROR(VLOOKUP($B159,'Unit costs'!$B$178:$C$206,2,FALSE)/F149,"")</f>
        <v>0</v>
      </c>
    </row>
    <row r="160" spans="2:6" x14ac:dyDescent="0.25">
      <c r="B160" s="237" t="str">
        <f t="shared" si="10"/>
        <v>Other</v>
      </c>
      <c r="C160" s="352">
        <f>IFERROR(VLOOKUP($B160,'Unit costs'!$B$178:$C$206,2,FALSE)/$C150,"")</f>
        <v>0</v>
      </c>
      <c r="D160" s="352">
        <f>IFERROR(VLOOKUP($B160,'Unit costs'!$B$178:$C$206,2,FALSE)/$D150,"")</f>
        <v>0</v>
      </c>
      <c r="E160" s="352">
        <f>IFERROR(VLOOKUP($B160,'Unit costs'!$B$178:$C$206,2,FALSE)/E150,"")</f>
        <v>0</v>
      </c>
      <c r="F160" s="352">
        <f>IFERROR(VLOOKUP($B160,'Unit costs'!$B$178:$C$206,2,FALSE)/F150,"")</f>
        <v>0</v>
      </c>
    </row>
    <row r="161" spans="2:12" x14ac:dyDescent="0.25">
      <c r="B161" s="237" t="e">
        <f>#REF!</f>
        <v>#REF!</v>
      </c>
      <c r="C161" s="352" t="str">
        <f>IFERROR(VLOOKUP($B161,'Unit costs'!$B$178:$C$206,2,FALSE)/$C151,"")</f>
        <v/>
      </c>
      <c r="D161" s="352" t="str">
        <f>IFERROR(VLOOKUP($B161,'Unit costs'!$B$178:$C$206,2,FALSE)/$D151,"")</f>
        <v/>
      </c>
      <c r="E161" s="352" t="str">
        <f>IFERROR(VLOOKUP($B161,'Unit costs'!$B$178:$C$206,2,FALSE)/E151,"")</f>
        <v/>
      </c>
      <c r="F161" s="352" t="str">
        <f>IFERROR(VLOOKUP($B161,'Unit costs'!$B$178:$C$206,2,FALSE)/F151,"")</f>
        <v/>
      </c>
    </row>
    <row r="162" spans="2:12" x14ac:dyDescent="0.25">
      <c r="B162" s="237" t="e">
        <f>#REF!</f>
        <v>#REF!</v>
      </c>
      <c r="C162" s="352" t="str">
        <f>IFERROR(VLOOKUP($B162,'Unit costs'!$B$178:$C$206,2,FALSE)/$C152,"")</f>
        <v/>
      </c>
      <c r="D162" s="352" t="str">
        <f>IFERROR(VLOOKUP($B162,'Unit costs'!$B$178:$C$206,2,FALSE)/$D152,"")</f>
        <v/>
      </c>
      <c r="E162" s="352" t="str">
        <f>IFERROR(VLOOKUP($B162,'Unit costs'!$B$178:$C$206,2,FALSE)/E152,"")</f>
        <v/>
      </c>
      <c r="F162" s="352" t="str">
        <f>IFERROR(VLOOKUP($B162,'Unit costs'!$B$178:$C$206,2,FALSE)/F152,"")</f>
        <v/>
      </c>
    </row>
    <row r="163" spans="2:12" x14ac:dyDescent="0.25">
      <c r="B163" s="231"/>
      <c r="C163" s="231"/>
      <c r="D163" s="231"/>
      <c r="E163" s="231"/>
      <c r="F163" s="231"/>
      <c r="G163" s="231"/>
      <c r="H163" s="236"/>
      <c r="I163" s="236"/>
      <c r="J163" s="236"/>
      <c r="K163" s="236"/>
      <c r="L163" s="236"/>
    </row>
    <row r="164" spans="2:12" ht="19.149999999999999" customHeight="1" thickBot="1" x14ac:dyDescent="0.3">
      <c r="B164" s="463" t="s">
        <v>514</v>
      </c>
      <c r="C164" s="463"/>
      <c r="D164" s="463"/>
      <c r="E164" s="463"/>
      <c r="F164" s="463"/>
      <c r="G164" s="463"/>
    </row>
    <row r="165" spans="2:12" ht="46.15" customHeight="1" thickBot="1" x14ac:dyDescent="0.3">
      <c r="B165" s="139" t="s">
        <v>231</v>
      </c>
      <c r="C165" s="247" t="str">
        <f>'Set up'!B18</f>
        <v>Abbott M2000 RealTime</v>
      </c>
      <c r="D165" s="247" t="str">
        <f>'Set up'!B19</f>
        <v>Abbott M2000 RealTime</v>
      </c>
      <c r="E165" s="247" t="str">
        <f>'Set up'!B20</f>
        <v>Roche COBAS Ampliprep/TaqMan 48</v>
      </c>
      <c r="F165" s="290" t="str">
        <f>'Set up'!$B21</f>
        <v>Roche COBAS Ampliprep/TaqMan 48</v>
      </c>
    </row>
    <row r="166" spans="2:12" x14ac:dyDescent="0.25">
      <c r="B166" s="239" t="s">
        <v>31</v>
      </c>
      <c r="C166" s="259">
        <f>VLOOKUP($B166,'Unit costs'!$B$86:$E$173,4,FALSE)</f>
        <v>1</v>
      </c>
      <c r="D166" s="259">
        <f>VLOOKUP($B166,'Unit costs'!$B$86:$E$173,4,FALSE)</f>
        <v>1</v>
      </c>
      <c r="E166" s="259">
        <f>VLOOKUP($B166,'Unit costs'!$B$86:$E$173,4,FALSE)</f>
        <v>1</v>
      </c>
      <c r="F166" s="259">
        <f>VLOOKUP($B166,'Unit costs'!$B$86:$E$173,4,FALSE)</f>
        <v>1</v>
      </c>
    </row>
    <row r="167" spans="2:12" x14ac:dyDescent="0.25">
      <c r="B167" s="184" t="s">
        <v>289</v>
      </c>
      <c r="C167" s="259">
        <f>VLOOKUP($B167,'Unit costs'!$B$86:$E$173,4,FALSE)</f>
        <v>1</v>
      </c>
      <c r="D167" s="259">
        <f>VLOOKUP($B167,'Unit costs'!$B$86:$E$173,4,FALSE)</f>
        <v>1</v>
      </c>
      <c r="E167" s="259">
        <f>VLOOKUP($B167,'Unit costs'!$B$86:$E$173,4,FALSE)</f>
        <v>1</v>
      </c>
      <c r="F167" s="259">
        <f>VLOOKUP($B167,'Unit costs'!$B$86:$E$173,4,FALSE)</f>
        <v>1</v>
      </c>
    </row>
    <row r="168" spans="2:12" x14ac:dyDescent="0.25">
      <c r="B168" s="184" t="s">
        <v>317</v>
      </c>
      <c r="C168" s="259">
        <f>VLOOKUP($B168,'Unit costs'!$B$86:$E$173,4,FALSE)</f>
        <v>2.1413276231263384E-3</v>
      </c>
      <c r="D168" s="259">
        <f>VLOOKUP($B168,'Unit costs'!$B$86:$E$173,4,FALSE)</f>
        <v>2.1413276231263384E-3</v>
      </c>
      <c r="E168" s="259">
        <f>VLOOKUP($B168,'Unit costs'!$B$86:$E$173,4,FALSE)</f>
        <v>2.1413276231263384E-3</v>
      </c>
      <c r="F168" s="259">
        <f>VLOOKUP($B168,'Unit costs'!$B$86:$E$173,4,FALSE)</f>
        <v>2.1413276231263384E-3</v>
      </c>
    </row>
    <row r="169" spans="2:12" x14ac:dyDescent="0.25">
      <c r="B169" s="184" t="s">
        <v>240</v>
      </c>
      <c r="C169" s="259">
        <f>VLOOKUP($B169,'Unit costs'!$B$86:$E$173,4,FALSE)</f>
        <v>1.0416666666666666E-2</v>
      </c>
      <c r="D169" s="259">
        <f>VLOOKUP($B169,'Unit costs'!$B$86:$E$173,4,FALSE)</f>
        <v>1.0416666666666666E-2</v>
      </c>
      <c r="E169" s="259">
        <f>VLOOKUP($B169,'Unit costs'!$B$86:$E$173,4,FALSE)</f>
        <v>1.0416666666666666E-2</v>
      </c>
      <c r="F169" s="259">
        <f>VLOOKUP($B169,'Unit costs'!$B$86:$E$173,4,FALSE)</f>
        <v>1.0416666666666666E-2</v>
      </c>
    </row>
    <row r="170" spans="2:12" x14ac:dyDescent="0.25">
      <c r="B170" s="184" t="s">
        <v>249</v>
      </c>
      <c r="C170" s="259">
        <f>VLOOKUP($B170,'Unit costs'!$B$86:$E$173,4,FALSE)</f>
        <v>0.01</v>
      </c>
      <c r="D170" s="259">
        <f>VLOOKUP($B170,'Unit costs'!$B$86:$E$173,4,FALSE)</f>
        <v>0.01</v>
      </c>
      <c r="E170" s="259">
        <f>VLOOKUP($B170,'Unit costs'!$B$86:$E$173,4,FALSE)</f>
        <v>0.01</v>
      </c>
      <c r="F170" s="259">
        <f>VLOOKUP($B170,'Unit costs'!$B$86:$E$173,4,FALSE)</f>
        <v>0.01</v>
      </c>
    </row>
    <row r="171" spans="2:12" x14ac:dyDescent="0.25">
      <c r="B171" s="184"/>
      <c r="C171" s="259" t="e">
        <f>VLOOKUP($B171,'Unit costs'!$B$86:$E$173,4,FALSE)</f>
        <v>#N/A</v>
      </c>
      <c r="D171" s="259" t="e">
        <f>VLOOKUP($B171,'Unit costs'!$B$86:$E$173,4,FALSE)</f>
        <v>#N/A</v>
      </c>
      <c r="E171" s="259" t="e">
        <f>VLOOKUP($B171,'Unit costs'!$B$86:$E$173,4,FALSE)</f>
        <v>#N/A</v>
      </c>
      <c r="F171" s="259" t="e">
        <f>VLOOKUP($B171,'Unit costs'!$B$86:$E$173,4,FALSE)</f>
        <v>#N/A</v>
      </c>
    </row>
    <row r="172" spans="2:12" x14ac:dyDescent="0.25">
      <c r="B172" s="184"/>
      <c r="C172" s="259" t="e">
        <f>VLOOKUP($B172,'Unit costs'!$B$86:$E$173,4,FALSE)</f>
        <v>#N/A</v>
      </c>
      <c r="D172" s="259" t="e">
        <f>VLOOKUP($B172,'Unit costs'!$B$86:$E$173,4,FALSE)</f>
        <v>#N/A</v>
      </c>
      <c r="E172" s="259" t="e">
        <f>VLOOKUP($B172,'Unit costs'!$B$86:$E$173,4,FALSE)</f>
        <v>#N/A</v>
      </c>
      <c r="F172" s="259" t="e">
        <f>VLOOKUP($B172,'Unit costs'!$B$86:$E$173,4,FALSE)</f>
        <v>#N/A</v>
      </c>
    </row>
    <row r="173" spans="2:12" x14ac:dyDescent="0.25">
      <c r="B173" s="184"/>
      <c r="C173" s="259" t="e">
        <f>VLOOKUP($B173,'Unit costs'!$B$86:$E$173,4,FALSE)</f>
        <v>#N/A</v>
      </c>
      <c r="D173" s="259" t="e">
        <f>VLOOKUP($B173,'Unit costs'!$B$86:$E$173,4,FALSE)</f>
        <v>#N/A</v>
      </c>
      <c r="E173" s="259" t="e">
        <f>VLOOKUP($B173,'Unit costs'!$B$86:$E$173,4,FALSE)</f>
        <v>#N/A</v>
      </c>
      <c r="F173" s="259" t="e">
        <f>VLOOKUP($B173,'Unit costs'!$B$86:$E$173,4,FALSE)</f>
        <v>#N/A</v>
      </c>
    </row>
    <row r="174" spans="2:12" x14ac:dyDescent="0.25">
      <c r="B174" s="184"/>
      <c r="C174" s="259" t="e">
        <f>VLOOKUP($B174,'Unit costs'!$B$86:$E$173,4,FALSE)</f>
        <v>#N/A</v>
      </c>
      <c r="D174" s="259" t="e">
        <f>VLOOKUP($B174,'Unit costs'!$B$86:$E$173,4,FALSE)</f>
        <v>#N/A</v>
      </c>
      <c r="E174" s="259" t="e">
        <f>VLOOKUP($B174,'Unit costs'!$B$86:$E$173,4,FALSE)</f>
        <v>#N/A</v>
      </c>
      <c r="F174" s="259" t="e">
        <f>VLOOKUP($B174,'Unit costs'!$B$86:$E$173,4,FALSE)</f>
        <v>#N/A</v>
      </c>
    </row>
    <row r="175" spans="2:12" x14ac:dyDescent="0.25">
      <c r="B175" s="184"/>
      <c r="C175" s="259" t="e">
        <f>VLOOKUP($B175,'Unit costs'!$B$86:$E$173,4,FALSE)</f>
        <v>#N/A</v>
      </c>
      <c r="D175" s="259" t="e">
        <f>VLOOKUP($B175,'Unit costs'!$B$86:$E$173,4,FALSE)</f>
        <v>#N/A</v>
      </c>
      <c r="E175" s="259" t="e">
        <f>VLOOKUP($B175,'Unit costs'!$B$86:$E$173,4,FALSE)</f>
        <v>#N/A</v>
      </c>
      <c r="F175" s="259" t="e">
        <f>VLOOKUP($B175,'Unit costs'!$B$86:$E$173,4,FALSE)</f>
        <v>#N/A</v>
      </c>
    </row>
    <row r="176" spans="2:12" x14ac:dyDescent="0.25">
      <c r="B176" s="184"/>
      <c r="C176" s="259" t="e">
        <f>VLOOKUP($B176,'Unit costs'!$B$86:$E$173,4,FALSE)</f>
        <v>#N/A</v>
      </c>
      <c r="D176" s="259" t="e">
        <f>VLOOKUP($B176,'Unit costs'!$B$86:$E$173,4,FALSE)</f>
        <v>#N/A</v>
      </c>
      <c r="E176" s="259" t="e">
        <f>VLOOKUP($B176,'Unit costs'!$B$86:$E$173,4,FALSE)</f>
        <v>#N/A</v>
      </c>
      <c r="F176" s="259" t="e">
        <f>VLOOKUP($B176,'Unit costs'!$B$86:$E$173,4,FALSE)</f>
        <v>#N/A</v>
      </c>
    </row>
    <row r="177" spans="2:6" x14ac:dyDescent="0.25">
      <c r="B177" s="184"/>
      <c r="C177" s="259" t="e">
        <f>VLOOKUP($B177,'Unit costs'!$B$86:$E$173,4,FALSE)</f>
        <v>#N/A</v>
      </c>
      <c r="D177" s="259" t="e">
        <f>VLOOKUP($B177,'Unit costs'!$B$86:$E$173,4,FALSE)</f>
        <v>#N/A</v>
      </c>
      <c r="E177" s="259" t="e">
        <f>VLOOKUP($B177,'Unit costs'!$B$86:$E$173,4,FALSE)</f>
        <v>#N/A</v>
      </c>
      <c r="F177" s="259" t="e">
        <f>VLOOKUP($B177,'Unit costs'!$B$86:$E$173,4,FALSE)</f>
        <v>#N/A</v>
      </c>
    </row>
    <row r="178" spans="2:6" x14ac:dyDescent="0.25">
      <c r="B178" s="184"/>
      <c r="C178" s="259" t="e">
        <f>VLOOKUP($B178,'Unit costs'!$B$86:$E$173,4,FALSE)</f>
        <v>#N/A</v>
      </c>
      <c r="D178" s="259" t="e">
        <f>VLOOKUP($B178,'Unit costs'!$B$86:$E$173,4,FALSE)</f>
        <v>#N/A</v>
      </c>
      <c r="E178" s="259" t="e">
        <f>VLOOKUP($B178,'Unit costs'!$B$86:$E$173,4,FALSE)</f>
        <v>#N/A</v>
      </c>
      <c r="F178" s="259" t="e">
        <f>VLOOKUP($B178,'Unit costs'!$B$86:$E$173,4,FALSE)</f>
        <v>#N/A</v>
      </c>
    </row>
    <row r="179" spans="2:6" x14ac:dyDescent="0.25">
      <c r="B179" s="240"/>
      <c r="C179" s="259" t="e">
        <f>VLOOKUP($B179,'Unit costs'!$B$86:$E$173,4,FALSE)</f>
        <v>#N/A</v>
      </c>
      <c r="D179" s="259" t="e">
        <f>VLOOKUP($B179,'Unit costs'!$B$86:$E$173,4,FALSE)</f>
        <v>#N/A</v>
      </c>
      <c r="E179" s="259" t="e">
        <f>VLOOKUP($B179,'Unit costs'!$B$86:$E$173,4,FALSE)</f>
        <v>#N/A</v>
      </c>
      <c r="F179" s="259" t="e">
        <f>VLOOKUP($B179,'Unit costs'!$B$86:$E$173,4,FALSE)</f>
        <v>#N/A</v>
      </c>
    </row>
    <row r="180" spans="2:6" x14ac:dyDescent="0.25">
      <c r="B180" s="207"/>
      <c r="C180" s="207"/>
      <c r="D180" s="207"/>
      <c r="E180" s="207"/>
      <c r="F180" s="207"/>
    </row>
    <row r="181" spans="2:6" ht="15.75" thickBot="1" x14ac:dyDescent="0.3">
      <c r="B181" s="446" t="s">
        <v>509</v>
      </c>
      <c r="C181" s="446"/>
      <c r="D181" s="446"/>
      <c r="E181" s="446"/>
      <c r="F181" s="446"/>
    </row>
    <row r="182" spans="2:6" ht="15.75" thickBot="1" x14ac:dyDescent="0.3">
      <c r="B182" s="241" t="str">
        <f t="shared" ref="B182:B195" si="11">B166</f>
        <v>Labels</v>
      </c>
      <c r="C182" s="348">
        <f>IFERROR(VLOOKUP($B182,'Unit costs'!$B$86:$F$173,5,FALSE)*C166,"")</f>
        <v>0.01</v>
      </c>
      <c r="D182" s="348">
        <f>IFERROR(VLOOKUP($B182,'Unit costs'!$B$86:$F$173,5,FALSE)*D166,"")</f>
        <v>0.01</v>
      </c>
      <c r="E182" s="348">
        <f>IFERROR(VLOOKUP($B182,'Unit costs'!$B$86:$F$173,5,FALSE)*E166,"")</f>
        <v>0.01</v>
      </c>
      <c r="F182" s="348">
        <f>IFERROR(VLOOKUP($B182,'Unit costs'!$B$86:$F$173,5,FALSE)*F166,"")</f>
        <v>0.01</v>
      </c>
    </row>
    <row r="183" spans="2:6" ht="15.75" thickBot="1" x14ac:dyDescent="0.3">
      <c r="B183" s="242" t="str">
        <f t="shared" si="11"/>
        <v>paper (1 pack = 500 sheets)</v>
      </c>
      <c r="C183" s="348">
        <f>IFERROR(VLOOKUP($B183,'Unit costs'!$B$86:$F$173,5,FALSE)*C167,"")</f>
        <v>1.076E-2</v>
      </c>
      <c r="D183" s="348">
        <f>IFERROR(VLOOKUP($B183,'Unit costs'!$B$86:$F$173,5,FALSE)*D167,"")</f>
        <v>1.076E-2</v>
      </c>
      <c r="E183" s="348">
        <f>IFERROR(VLOOKUP($B183,'Unit costs'!$B$86:$F$173,5,FALSE)*E167,"")</f>
        <v>1.076E-2</v>
      </c>
      <c r="F183" s="348">
        <f>IFERROR(VLOOKUP($B183,'Unit costs'!$B$86:$F$173,5,FALSE)*F167,"")</f>
        <v>1.076E-2</v>
      </c>
    </row>
    <row r="184" spans="2:6" ht="15.75" thickBot="1" x14ac:dyDescent="0.3">
      <c r="B184" s="242" t="str">
        <f t="shared" si="11"/>
        <v>Tape Packing 2'' brown (unit of 1)</v>
      </c>
      <c r="C184" s="348">
        <f>IFERROR(VLOOKUP($B184,'Unit costs'!$B$86:$F$173,5,FALSE)*C168,"")</f>
        <v>1.9896695812703287E-6</v>
      </c>
      <c r="D184" s="348">
        <f>IFERROR(VLOOKUP($B184,'Unit costs'!$B$86:$F$173,5,FALSE)*D168,"")</f>
        <v>1.9896695812703287E-6</v>
      </c>
      <c r="E184" s="348">
        <f>IFERROR(VLOOKUP($B184,'Unit costs'!$B$86:$F$173,5,FALSE)*E168,"")</f>
        <v>1.9896695812703287E-6</v>
      </c>
      <c r="F184" s="348">
        <f>IFERROR(VLOOKUP($B184,'Unit costs'!$B$86:$F$173,5,FALSE)*F168,"")</f>
        <v>1.9896695812703287E-6</v>
      </c>
    </row>
    <row r="185" spans="2:6" ht="15.75" thickBot="1" x14ac:dyDescent="0.3">
      <c r="B185" s="242" t="str">
        <f t="shared" si="11"/>
        <v>Biohazard containers (unit of 1)</v>
      </c>
      <c r="C185" s="348">
        <f>IFERROR(VLOOKUP($B185,'Unit costs'!$B$86:$F$173,5,FALSE)*C169,"")</f>
        <v>1.8692708333333333E-5</v>
      </c>
      <c r="D185" s="348">
        <f>IFERROR(VLOOKUP($B185,'Unit costs'!$B$86:$F$173,5,FALSE)*D169,"")</f>
        <v>1.8692708333333333E-5</v>
      </c>
      <c r="E185" s="348">
        <f>IFERROR(VLOOKUP($B185,'Unit costs'!$B$86:$F$173,5,FALSE)*E169,"")</f>
        <v>1.8692708333333333E-5</v>
      </c>
      <c r="F185" s="348">
        <f>IFERROR(VLOOKUP($B185,'Unit costs'!$B$86:$F$173,5,FALSE)*F169,"")</f>
        <v>1.8692708333333333E-5</v>
      </c>
    </row>
    <row r="186" spans="2:6" ht="15.75" thickBot="1" x14ac:dyDescent="0.3">
      <c r="B186" s="242" t="str">
        <f t="shared" si="11"/>
        <v>Pen (box of 50)</v>
      </c>
      <c r="C186" s="348">
        <f>IFERROR(VLOOKUP($B186,'Unit costs'!$B$86:$F$173,5,FALSE)*C170,"")</f>
        <v>2.9585798816568003E-7</v>
      </c>
      <c r="D186" s="348">
        <f>IFERROR(VLOOKUP($B186,'Unit costs'!$B$86:$F$173,5,FALSE)*D170,"")</f>
        <v>2.9585798816568003E-7</v>
      </c>
      <c r="E186" s="348">
        <f>IFERROR(VLOOKUP($B186,'Unit costs'!$B$86:$F$173,5,FALSE)*E170,"")</f>
        <v>2.9585798816568003E-7</v>
      </c>
      <c r="F186" s="348">
        <f>IFERROR(VLOOKUP($B186,'Unit costs'!$B$86:$F$173,5,FALSE)*F170,"")</f>
        <v>2.9585798816568003E-7</v>
      </c>
    </row>
    <row r="187" spans="2:6" ht="15.75" thickBot="1" x14ac:dyDescent="0.3">
      <c r="B187" s="242">
        <f t="shared" si="11"/>
        <v>0</v>
      </c>
      <c r="C187" s="348" t="str">
        <f>IFERROR(VLOOKUP($B187,'Unit costs'!$B$86:$F$173,5,FALSE)*C171,"")</f>
        <v/>
      </c>
      <c r="D187" s="348" t="str">
        <f>IFERROR(VLOOKUP($B187,'Unit costs'!$B$86:$F$173,5,FALSE)*D171,"")</f>
        <v/>
      </c>
      <c r="E187" s="348" t="str">
        <f>IFERROR(VLOOKUP($B187,'Unit costs'!$B$86:$F$173,5,FALSE)*E171,"")</f>
        <v/>
      </c>
      <c r="F187" s="348" t="str">
        <f>IFERROR(VLOOKUP($B187,'Unit costs'!$B$86:$F$173,5,FALSE)*F171,"")</f>
        <v/>
      </c>
    </row>
    <row r="188" spans="2:6" ht="15.75" thickBot="1" x14ac:dyDescent="0.3">
      <c r="B188" s="242">
        <f t="shared" si="11"/>
        <v>0</v>
      </c>
      <c r="C188" s="348" t="str">
        <f>IFERROR(VLOOKUP($B188,'Unit costs'!$B$86:$F$173,5,FALSE)*C172,"")</f>
        <v/>
      </c>
      <c r="D188" s="348" t="str">
        <f>IFERROR(VLOOKUP($B188,'Unit costs'!$B$86:$F$173,5,FALSE)*D172,"")</f>
        <v/>
      </c>
      <c r="E188" s="348" t="str">
        <f>IFERROR(VLOOKUP($B188,'Unit costs'!$B$86:$F$173,5,FALSE)*E172,"")</f>
        <v/>
      </c>
      <c r="F188" s="348" t="str">
        <f>IFERROR(VLOOKUP($B188,'Unit costs'!$B$86:$F$173,5,FALSE)*F172,"")</f>
        <v/>
      </c>
    </row>
    <row r="189" spans="2:6" ht="15.75" thickBot="1" x14ac:dyDescent="0.3">
      <c r="B189" s="242">
        <f t="shared" si="11"/>
        <v>0</v>
      </c>
      <c r="C189" s="348" t="str">
        <f>IFERROR(VLOOKUP($B189,'Unit costs'!$B$86:$F$173,5,FALSE)*C173,"")</f>
        <v/>
      </c>
      <c r="D189" s="348" t="str">
        <f>IFERROR(VLOOKUP($B189,'Unit costs'!$B$86:$F$173,5,FALSE)*D173,"")</f>
        <v/>
      </c>
      <c r="E189" s="348" t="str">
        <f>IFERROR(VLOOKUP($B189,'Unit costs'!$B$86:$F$173,5,FALSE)*E173,"")</f>
        <v/>
      </c>
      <c r="F189" s="348" t="str">
        <f>IFERROR(VLOOKUP($B189,'Unit costs'!$B$86:$F$173,5,FALSE)*F173,"")</f>
        <v/>
      </c>
    </row>
    <row r="190" spans="2:6" ht="15.75" thickBot="1" x14ac:dyDescent="0.3">
      <c r="B190" s="242">
        <f t="shared" si="11"/>
        <v>0</v>
      </c>
      <c r="C190" s="348" t="str">
        <f>IFERROR(VLOOKUP($B190,'Unit costs'!$B$86:$F$173,5,FALSE)*C174,"")</f>
        <v/>
      </c>
      <c r="D190" s="348" t="str">
        <f>IFERROR(VLOOKUP($B190,'Unit costs'!$B$86:$F$173,5,FALSE)*D174,"")</f>
        <v/>
      </c>
      <c r="E190" s="348" t="str">
        <f>IFERROR(VLOOKUP($B190,'Unit costs'!$B$86:$F$173,5,FALSE)*E174,"")</f>
        <v/>
      </c>
      <c r="F190" s="348" t="str">
        <f>IFERROR(VLOOKUP($B190,'Unit costs'!$B$86:$F$173,5,FALSE)*F174,"")</f>
        <v/>
      </c>
    </row>
    <row r="191" spans="2:6" ht="15.75" thickBot="1" x14ac:dyDescent="0.3">
      <c r="B191" s="242">
        <f t="shared" si="11"/>
        <v>0</v>
      </c>
      <c r="C191" s="348" t="str">
        <f>IFERROR(VLOOKUP($B191,'Unit costs'!$B$86:$F$173,5,FALSE)*C175,"")</f>
        <v/>
      </c>
      <c r="D191" s="348" t="str">
        <f>IFERROR(VLOOKUP($B191,'Unit costs'!$B$86:$F$173,5,FALSE)*D175,"")</f>
        <v/>
      </c>
      <c r="E191" s="348" t="str">
        <f>IFERROR(VLOOKUP($B191,'Unit costs'!$B$86:$F$173,5,FALSE)*E175,"")</f>
        <v/>
      </c>
      <c r="F191" s="348" t="str">
        <f>IFERROR(VLOOKUP($B191,'Unit costs'!$B$86:$F$173,5,FALSE)*F175,"")</f>
        <v/>
      </c>
    </row>
    <row r="192" spans="2:6" ht="15.75" thickBot="1" x14ac:dyDescent="0.3">
      <c r="B192" s="242">
        <f t="shared" si="11"/>
        <v>0</v>
      </c>
      <c r="C192" s="348" t="str">
        <f>IFERROR(VLOOKUP($B192,'Unit costs'!$B$86:$F$173,5,FALSE)*C176,"")</f>
        <v/>
      </c>
      <c r="D192" s="348" t="str">
        <f>IFERROR(VLOOKUP($B192,'Unit costs'!$B$86:$F$173,5,FALSE)*D176,"")</f>
        <v/>
      </c>
      <c r="E192" s="348" t="str">
        <f>IFERROR(VLOOKUP($B192,'Unit costs'!$B$86:$F$173,5,FALSE)*E176,"")</f>
        <v/>
      </c>
      <c r="F192" s="348" t="str">
        <f>IFERROR(VLOOKUP($B192,'Unit costs'!$B$86:$F$173,5,FALSE)*F176,"")</f>
        <v/>
      </c>
    </row>
    <row r="193" spans="2:6" ht="15.75" thickBot="1" x14ac:dyDescent="0.3">
      <c r="B193" s="242">
        <f t="shared" si="11"/>
        <v>0</v>
      </c>
      <c r="C193" s="348" t="str">
        <f>IFERROR(VLOOKUP($B193,'Unit costs'!$B$86:$F$173,5,FALSE)*C177,"")</f>
        <v/>
      </c>
      <c r="D193" s="348" t="str">
        <f>IFERROR(VLOOKUP($B193,'Unit costs'!$B$86:$F$173,5,FALSE)*D177,"")</f>
        <v/>
      </c>
      <c r="E193" s="348" t="str">
        <f>IFERROR(VLOOKUP($B193,'Unit costs'!$B$86:$F$173,5,FALSE)*E177,"")</f>
        <v/>
      </c>
      <c r="F193" s="348" t="str">
        <f>IFERROR(VLOOKUP($B193,'Unit costs'!$B$86:$F$173,5,FALSE)*F177,"")</f>
        <v/>
      </c>
    </row>
    <row r="194" spans="2:6" ht="15.75" thickBot="1" x14ac:dyDescent="0.3">
      <c r="B194" s="242">
        <f t="shared" si="11"/>
        <v>0</v>
      </c>
      <c r="C194" s="348" t="str">
        <f>IFERROR(VLOOKUP($B194,'Unit costs'!$B$86:$F$173,5,FALSE)*C178,"")</f>
        <v/>
      </c>
      <c r="D194" s="348" t="str">
        <f>IFERROR(VLOOKUP($B194,'Unit costs'!$B$86:$F$173,5,FALSE)*D178,"")</f>
        <v/>
      </c>
      <c r="E194" s="348" t="str">
        <f>IFERROR(VLOOKUP($B194,'Unit costs'!$B$86:$F$173,5,FALSE)*E178,"")</f>
        <v/>
      </c>
      <c r="F194" s="348" t="str">
        <f>IFERROR(VLOOKUP($B194,'Unit costs'!$B$86:$F$173,5,FALSE)*F178,"")</f>
        <v/>
      </c>
    </row>
    <row r="195" spans="2:6" x14ac:dyDescent="0.25">
      <c r="B195" s="243">
        <f t="shared" si="11"/>
        <v>0</v>
      </c>
      <c r="C195" s="348" t="str">
        <f>IFERROR(VLOOKUP($B195,'Unit costs'!$B$86:$F$173,5,FALSE)*C179,"")</f>
        <v/>
      </c>
      <c r="D195" s="348" t="str">
        <f>IFERROR(VLOOKUP($B195,'Unit costs'!$B$86:$F$173,5,FALSE)*D179,"")</f>
        <v/>
      </c>
      <c r="E195" s="348" t="str">
        <f>IFERROR(VLOOKUP($B195,'Unit costs'!$B$86:$F$173,5,FALSE)*E179,"")</f>
        <v/>
      </c>
      <c r="F195" s="348" t="str">
        <f>IFERROR(VLOOKUP($B195,'Unit costs'!$B$86:$F$173,5,FALSE)*F179,"")</f>
        <v/>
      </c>
    </row>
    <row r="198" spans="2:6" x14ac:dyDescent="0.25">
      <c r="B198" s="210" t="s">
        <v>347</v>
      </c>
    </row>
    <row r="199" spans="2:6" x14ac:dyDescent="0.25">
      <c r="B199" s="120" t="s">
        <v>375</v>
      </c>
    </row>
    <row r="200" spans="2:6" x14ac:dyDescent="0.25">
      <c r="B200" s="120" t="s">
        <v>435</v>
      </c>
    </row>
  </sheetData>
  <sheetProtection password="C441" sheet="1" objects="1" scenarios="1"/>
  <mergeCells count="39">
    <mergeCell ref="B15:L15"/>
    <mergeCell ref="B106:L106"/>
    <mergeCell ref="G39:G40"/>
    <mergeCell ref="H39:H40"/>
    <mergeCell ref="I39:I40"/>
    <mergeCell ref="J39:M39"/>
    <mergeCell ref="B51:F51"/>
    <mergeCell ref="B62:F62"/>
    <mergeCell ref="B130:B131"/>
    <mergeCell ref="C130:C131"/>
    <mergeCell ref="D130:D131"/>
    <mergeCell ref="E130:E131"/>
    <mergeCell ref="F130:F131"/>
    <mergeCell ref="B39:B40"/>
    <mergeCell ref="C39:C40"/>
    <mergeCell ref="D39:D40"/>
    <mergeCell ref="E39:E40"/>
    <mergeCell ref="F39:F40"/>
    <mergeCell ref="J130:M130"/>
    <mergeCell ref="B164:G164"/>
    <mergeCell ref="B181:F181"/>
    <mergeCell ref="B72:G72"/>
    <mergeCell ref="B89:F89"/>
    <mergeCell ref="B141:F141"/>
    <mergeCell ref="B152:F152"/>
    <mergeCell ref="G130:G131"/>
    <mergeCell ref="H130:H131"/>
    <mergeCell ref="I130:I131"/>
    <mergeCell ref="B6:K6"/>
    <mergeCell ref="I7:J7"/>
    <mergeCell ref="B7:B8"/>
    <mergeCell ref="B1:D1"/>
    <mergeCell ref="E1:G1"/>
    <mergeCell ref="B2:D2"/>
    <mergeCell ref="B3:D3"/>
    <mergeCell ref="B4:D4"/>
    <mergeCell ref="E7:F7"/>
    <mergeCell ref="C7:D7"/>
    <mergeCell ref="G7:H7"/>
  </mergeCells>
  <dataValidations count="4">
    <dataValidation type="list" allowBlank="1" showInputMessage="1" showErrorMessage="1" sqref="WVK983023:WVQ983023 IU17:JA17 SQ17:SW17 ACM17:ACS17 AMI17:AMO17 AWE17:AWK17 BGA17:BGG17 BPW17:BQC17 BZS17:BZY17 CJO17:CJU17 CTK17:CTQ17 DDG17:DDM17 DNC17:DNI17 DWY17:DXE17 EGU17:EHA17 EQQ17:EQW17 FAM17:FAS17 FKI17:FKO17 FUE17:FUK17 GEA17:GEG17 GNW17:GOC17 GXS17:GXY17 HHO17:HHU17 HRK17:HRQ17 IBG17:IBM17 ILC17:ILI17 IUY17:IVE17 JEU17:JFA17 JOQ17:JOW17 JYM17:JYS17 KII17:KIO17 KSE17:KSK17 LCA17:LCG17 LLW17:LMC17 LVS17:LVY17 MFO17:MFU17 MPK17:MPQ17 MZG17:MZM17 NJC17:NJI17 NSY17:NTE17 OCU17:ODA17 OMQ17:OMW17 OWM17:OWS17 PGI17:PGO17 PQE17:PQK17 QAA17:QAG17 QJW17:QKC17 QTS17:QTY17 RDO17:RDU17 RNK17:RNQ17 RXG17:RXM17 SHC17:SHI17 SQY17:SRE17 TAU17:TBA17 TKQ17:TKW17 TUM17:TUS17 UEI17:UEO17 UOE17:UOK17 UYA17:UYG17 VHW17:VIC17 VRS17:VRY17 WBO17:WBU17 WLK17:WLQ17 WVG17:WVM17 IY65519:JE65519 SU65519:TA65519 ACQ65519:ACW65519 AMM65519:AMS65519 AWI65519:AWO65519 BGE65519:BGK65519 BQA65519:BQG65519 BZW65519:CAC65519 CJS65519:CJY65519 CTO65519:CTU65519 DDK65519:DDQ65519 DNG65519:DNM65519 DXC65519:DXI65519 EGY65519:EHE65519 EQU65519:ERA65519 FAQ65519:FAW65519 FKM65519:FKS65519 FUI65519:FUO65519 GEE65519:GEK65519 GOA65519:GOG65519 GXW65519:GYC65519 HHS65519:HHY65519 HRO65519:HRU65519 IBK65519:IBQ65519 ILG65519:ILM65519 IVC65519:IVI65519 JEY65519:JFE65519 JOU65519:JPA65519 JYQ65519:JYW65519 KIM65519:KIS65519 KSI65519:KSO65519 LCE65519:LCK65519 LMA65519:LMG65519 LVW65519:LWC65519 MFS65519:MFY65519 MPO65519:MPU65519 MZK65519:MZQ65519 NJG65519:NJM65519 NTC65519:NTI65519 OCY65519:ODE65519 OMU65519:ONA65519 OWQ65519:OWW65519 PGM65519:PGS65519 PQI65519:PQO65519 QAE65519:QAK65519 QKA65519:QKG65519 QTW65519:QUC65519 RDS65519:RDY65519 RNO65519:RNU65519 RXK65519:RXQ65519 SHG65519:SHM65519 SRC65519:SRI65519 TAY65519:TBE65519 TKU65519:TLA65519 TUQ65519:TUW65519 UEM65519:UES65519 UOI65519:UOO65519 UYE65519:UYK65519 VIA65519:VIG65519 VRW65519:VSC65519 WBS65519:WBY65519 WLO65519:WLU65519 WVK65519:WVQ65519 IY131055:JE131055 SU131055:TA131055 ACQ131055:ACW131055 AMM131055:AMS131055 AWI131055:AWO131055 BGE131055:BGK131055 BQA131055:BQG131055 BZW131055:CAC131055 CJS131055:CJY131055 CTO131055:CTU131055 DDK131055:DDQ131055 DNG131055:DNM131055 DXC131055:DXI131055 EGY131055:EHE131055 EQU131055:ERA131055 FAQ131055:FAW131055 FKM131055:FKS131055 FUI131055:FUO131055 GEE131055:GEK131055 GOA131055:GOG131055 GXW131055:GYC131055 HHS131055:HHY131055 HRO131055:HRU131055 IBK131055:IBQ131055 ILG131055:ILM131055 IVC131055:IVI131055 JEY131055:JFE131055 JOU131055:JPA131055 JYQ131055:JYW131055 KIM131055:KIS131055 KSI131055:KSO131055 LCE131055:LCK131055 LMA131055:LMG131055 LVW131055:LWC131055 MFS131055:MFY131055 MPO131055:MPU131055 MZK131055:MZQ131055 NJG131055:NJM131055 NTC131055:NTI131055 OCY131055:ODE131055 OMU131055:ONA131055 OWQ131055:OWW131055 PGM131055:PGS131055 PQI131055:PQO131055 QAE131055:QAK131055 QKA131055:QKG131055 QTW131055:QUC131055 RDS131055:RDY131055 RNO131055:RNU131055 RXK131055:RXQ131055 SHG131055:SHM131055 SRC131055:SRI131055 TAY131055:TBE131055 TKU131055:TLA131055 TUQ131055:TUW131055 UEM131055:UES131055 UOI131055:UOO131055 UYE131055:UYK131055 VIA131055:VIG131055 VRW131055:VSC131055 WBS131055:WBY131055 WLO131055:WLU131055 WVK131055:WVQ131055 IY196591:JE196591 SU196591:TA196591 ACQ196591:ACW196591 AMM196591:AMS196591 AWI196591:AWO196591 BGE196591:BGK196591 BQA196591:BQG196591 BZW196591:CAC196591 CJS196591:CJY196591 CTO196591:CTU196591 DDK196591:DDQ196591 DNG196591:DNM196591 DXC196591:DXI196591 EGY196591:EHE196591 EQU196591:ERA196591 FAQ196591:FAW196591 FKM196591:FKS196591 FUI196591:FUO196591 GEE196591:GEK196591 GOA196591:GOG196591 GXW196591:GYC196591 HHS196591:HHY196591 HRO196591:HRU196591 IBK196591:IBQ196591 ILG196591:ILM196591 IVC196591:IVI196591 JEY196591:JFE196591 JOU196591:JPA196591 JYQ196591:JYW196591 KIM196591:KIS196591 KSI196591:KSO196591 LCE196591:LCK196591 LMA196591:LMG196591 LVW196591:LWC196591 MFS196591:MFY196591 MPO196591:MPU196591 MZK196591:MZQ196591 NJG196591:NJM196591 NTC196591:NTI196591 OCY196591:ODE196591 OMU196591:ONA196591 OWQ196591:OWW196591 PGM196591:PGS196591 PQI196591:PQO196591 QAE196591:QAK196591 QKA196591:QKG196591 QTW196591:QUC196591 RDS196591:RDY196591 RNO196591:RNU196591 RXK196591:RXQ196591 SHG196591:SHM196591 SRC196591:SRI196591 TAY196591:TBE196591 TKU196591:TLA196591 TUQ196591:TUW196591 UEM196591:UES196591 UOI196591:UOO196591 UYE196591:UYK196591 VIA196591:VIG196591 VRW196591:VSC196591 WBS196591:WBY196591 WLO196591:WLU196591 WVK196591:WVQ196591 IY262127:JE262127 SU262127:TA262127 ACQ262127:ACW262127 AMM262127:AMS262127 AWI262127:AWO262127 BGE262127:BGK262127 BQA262127:BQG262127 BZW262127:CAC262127 CJS262127:CJY262127 CTO262127:CTU262127 DDK262127:DDQ262127 DNG262127:DNM262127 DXC262127:DXI262127 EGY262127:EHE262127 EQU262127:ERA262127 FAQ262127:FAW262127 FKM262127:FKS262127 FUI262127:FUO262127 GEE262127:GEK262127 GOA262127:GOG262127 GXW262127:GYC262127 HHS262127:HHY262127 HRO262127:HRU262127 IBK262127:IBQ262127 ILG262127:ILM262127 IVC262127:IVI262127 JEY262127:JFE262127 JOU262127:JPA262127 JYQ262127:JYW262127 KIM262127:KIS262127 KSI262127:KSO262127 LCE262127:LCK262127 LMA262127:LMG262127 LVW262127:LWC262127 MFS262127:MFY262127 MPO262127:MPU262127 MZK262127:MZQ262127 NJG262127:NJM262127 NTC262127:NTI262127 OCY262127:ODE262127 OMU262127:ONA262127 OWQ262127:OWW262127 PGM262127:PGS262127 PQI262127:PQO262127 QAE262127:QAK262127 QKA262127:QKG262127 QTW262127:QUC262127 RDS262127:RDY262127 RNO262127:RNU262127 RXK262127:RXQ262127 SHG262127:SHM262127 SRC262127:SRI262127 TAY262127:TBE262127 TKU262127:TLA262127 TUQ262127:TUW262127 UEM262127:UES262127 UOI262127:UOO262127 UYE262127:UYK262127 VIA262127:VIG262127 VRW262127:VSC262127 WBS262127:WBY262127 WLO262127:WLU262127 WVK262127:WVQ262127 IY327663:JE327663 SU327663:TA327663 ACQ327663:ACW327663 AMM327663:AMS327663 AWI327663:AWO327663 BGE327663:BGK327663 BQA327663:BQG327663 BZW327663:CAC327663 CJS327663:CJY327663 CTO327663:CTU327663 DDK327663:DDQ327663 DNG327663:DNM327663 DXC327663:DXI327663 EGY327663:EHE327663 EQU327663:ERA327663 FAQ327663:FAW327663 FKM327663:FKS327663 FUI327663:FUO327663 GEE327663:GEK327663 GOA327663:GOG327663 GXW327663:GYC327663 HHS327663:HHY327663 HRO327663:HRU327663 IBK327663:IBQ327663 ILG327663:ILM327663 IVC327663:IVI327663 JEY327663:JFE327663 JOU327663:JPA327663 JYQ327663:JYW327663 KIM327663:KIS327663 KSI327663:KSO327663 LCE327663:LCK327663 LMA327663:LMG327663 LVW327663:LWC327663 MFS327663:MFY327663 MPO327663:MPU327663 MZK327663:MZQ327663 NJG327663:NJM327663 NTC327663:NTI327663 OCY327663:ODE327663 OMU327663:ONA327663 OWQ327663:OWW327663 PGM327663:PGS327663 PQI327663:PQO327663 QAE327663:QAK327663 QKA327663:QKG327663 QTW327663:QUC327663 RDS327663:RDY327663 RNO327663:RNU327663 RXK327663:RXQ327663 SHG327663:SHM327663 SRC327663:SRI327663 TAY327663:TBE327663 TKU327663:TLA327663 TUQ327663:TUW327663 UEM327663:UES327663 UOI327663:UOO327663 UYE327663:UYK327663 VIA327663:VIG327663 VRW327663:VSC327663 WBS327663:WBY327663 WLO327663:WLU327663 WVK327663:WVQ327663 IY393199:JE393199 SU393199:TA393199 ACQ393199:ACW393199 AMM393199:AMS393199 AWI393199:AWO393199 BGE393199:BGK393199 BQA393199:BQG393199 BZW393199:CAC393199 CJS393199:CJY393199 CTO393199:CTU393199 DDK393199:DDQ393199 DNG393199:DNM393199 DXC393199:DXI393199 EGY393199:EHE393199 EQU393199:ERA393199 FAQ393199:FAW393199 FKM393199:FKS393199 FUI393199:FUO393199 GEE393199:GEK393199 GOA393199:GOG393199 GXW393199:GYC393199 HHS393199:HHY393199 HRO393199:HRU393199 IBK393199:IBQ393199 ILG393199:ILM393199 IVC393199:IVI393199 JEY393199:JFE393199 JOU393199:JPA393199 JYQ393199:JYW393199 KIM393199:KIS393199 KSI393199:KSO393199 LCE393199:LCK393199 LMA393199:LMG393199 LVW393199:LWC393199 MFS393199:MFY393199 MPO393199:MPU393199 MZK393199:MZQ393199 NJG393199:NJM393199 NTC393199:NTI393199 OCY393199:ODE393199 OMU393199:ONA393199 OWQ393199:OWW393199 PGM393199:PGS393199 PQI393199:PQO393199 QAE393199:QAK393199 QKA393199:QKG393199 QTW393199:QUC393199 RDS393199:RDY393199 RNO393199:RNU393199 RXK393199:RXQ393199 SHG393199:SHM393199 SRC393199:SRI393199 TAY393199:TBE393199 TKU393199:TLA393199 TUQ393199:TUW393199 UEM393199:UES393199 UOI393199:UOO393199 UYE393199:UYK393199 VIA393199:VIG393199 VRW393199:VSC393199 WBS393199:WBY393199 WLO393199:WLU393199 WVK393199:WVQ393199 IY458735:JE458735 SU458735:TA458735 ACQ458735:ACW458735 AMM458735:AMS458735 AWI458735:AWO458735 BGE458735:BGK458735 BQA458735:BQG458735 BZW458735:CAC458735 CJS458735:CJY458735 CTO458735:CTU458735 DDK458735:DDQ458735 DNG458735:DNM458735 DXC458735:DXI458735 EGY458735:EHE458735 EQU458735:ERA458735 FAQ458735:FAW458735 FKM458735:FKS458735 FUI458735:FUO458735 GEE458735:GEK458735 GOA458735:GOG458735 GXW458735:GYC458735 HHS458735:HHY458735 HRO458735:HRU458735 IBK458735:IBQ458735 ILG458735:ILM458735 IVC458735:IVI458735 JEY458735:JFE458735 JOU458735:JPA458735 JYQ458735:JYW458735 KIM458735:KIS458735 KSI458735:KSO458735 LCE458735:LCK458735 LMA458735:LMG458735 LVW458735:LWC458735 MFS458735:MFY458735 MPO458735:MPU458735 MZK458735:MZQ458735 NJG458735:NJM458735 NTC458735:NTI458735 OCY458735:ODE458735 OMU458735:ONA458735 OWQ458735:OWW458735 PGM458735:PGS458735 PQI458735:PQO458735 QAE458735:QAK458735 QKA458735:QKG458735 QTW458735:QUC458735 RDS458735:RDY458735 RNO458735:RNU458735 RXK458735:RXQ458735 SHG458735:SHM458735 SRC458735:SRI458735 TAY458735:TBE458735 TKU458735:TLA458735 TUQ458735:TUW458735 UEM458735:UES458735 UOI458735:UOO458735 UYE458735:UYK458735 VIA458735:VIG458735 VRW458735:VSC458735 WBS458735:WBY458735 WLO458735:WLU458735 WVK458735:WVQ458735 IY524271:JE524271 SU524271:TA524271 ACQ524271:ACW524271 AMM524271:AMS524271 AWI524271:AWO524271 BGE524271:BGK524271 BQA524271:BQG524271 BZW524271:CAC524271 CJS524271:CJY524271 CTO524271:CTU524271 DDK524271:DDQ524271 DNG524271:DNM524271 DXC524271:DXI524271 EGY524271:EHE524271 EQU524271:ERA524271 FAQ524271:FAW524271 FKM524271:FKS524271 FUI524271:FUO524271 GEE524271:GEK524271 GOA524271:GOG524271 GXW524271:GYC524271 HHS524271:HHY524271 HRO524271:HRU524271 IBK524271:IBQ524271 ILG524271:ILM524271 IVC524271:IVI524271 JEY524271:JFE524271 JOU524271:JPA524271 JYQ524271:JYW524271 KIM524271:KIS524271 KSI524271:KSO524271 LCE524271:LCK524271 LMA524271:LMG524271 LVW524271:LWC524271 MFS524271:MFY524271 MPO524271:MPU524271 MZK524271:MZQ524271 NJG524271:NJM524271 NTC524271:NTI524271 OCY524271:ODE524271 OMU524271:ONA524271 OWQ524271:OWW524271 PGM524271:PGS524271 PQI524271:PQO524271 QAE524271:QAK524271 QKA524271:QKG524271 QTW524271:QUC524271 RDS524271:RDY524271 RNO524271:RNU524271 RXK524271:RXQ524271 SHG524271:SHM524271 SRC524271:SRI524271 TAY524271:TBE524271 TKU524271:TLA524271 TUQ524271:TUW524271 UEM524271:UES524271 UOI524271:UOO524271 UYE524271:UYK524271 VIA524271:VIG524271 VRW524271:VSC524271 WBS524271:WBY524271 WLO524271:WLU524271 WVK524271:WVQ524271 IY589807:JE589807 SU589807:TA589807 ACQ589807:ACW589807 AMM589807:AMS589807 AWI589807:AWO589807 BGE589807:BGK589807 BQA589807:BQG589807 BZW589807:CAC589807 CJS589807:CJY589807 CTO589807:CTU589807 DDK589807:DDQ589807 DNG589807:DNM589807 DXC589807:DXI589807 EGY589807:EHE589807 EQU589807:ERA589807 FAQ589807:FAW589807 FKM589807:FKS589807 FUI589807:FUO589807 GEE589807:GEK589807 GOA589807:GOG589807 GXW589807:GYC589807 HHS589807:HHY589807 HRO589807:HRU589807 IBK589807:IBQ589807 ILG589807:ILM589807 IVC589807:IVI589807 JEY589807:JFE589807 JOU589807:JPA589807 JYQ589807:JYW589807 KIM589807:KIS589807 KSI589807:KSO589807 LCE589807:LCK589807 LMA589807:LMG589807 LVW589807:LWC589807 MFS589807:MFY589807 MPO589807:MPU589807 MZK589807:MZQ589807 NJG589807:NJM589807 NTC589807:NTI589807 OCY589807:ODE589807 OMU589807:ONA589807 OWQ589807:OWW589807 PGM589807:PGS589807 PQI589807:PQO589807 QAE589807:QAK589807 QKA589807:QKG589807 QTW589807:QUC589807 RDS589807:RDY589807 RNO589807:RNU589807 RXK589807:RXQ589807 SHG589807:SHM589807 SRC589807:SRI589807 TAY589807:TBE589807 TKU589807:TLA589807 TUQ589807:TUW589807 UEM589807:UES589807 UOI589807:UOO589807 UYE589807:UYK589807 VIA589807:VIG589807 VRW589807:VSC589807 WBS589807:WBY589807 WLO589807:WLU589807 WVK589807:WVQ589807 IY655343:JE655343 SU655343:TA655343 ACQ655343:ACW655343 AMM655343:AMS655343 AWI655343:AWO655343 BGE655343:BGK655343 BQA655343:BQG655343 BZW655343:CAC655343 CJS655343:CJY655343 CTO655343:CTU655343 DDK655343:DDQ655343 DNG655343:DNM655343 DXC655343:DXI655343 EGY655343:EHE655343 EQU655343:ERA655343 FAQ655343:FAW655343 FKM655343:FKS655343 FUI655343:FUO655343 GEE655343:GEK655343 GOA655343:GOG655343 GXW655343:GYC655343 HHS655343:HHY655343 HRO655343:HRU655343 IBK655343:IBQ655343 ILG655343:ILM655343 IVC655343:IVI655343 JEY655343:JFE655343 JOU655343:JPA655343 JYQ655343:JYW655343 KIM655343:KIS655343 KSI655343:KSO655343 LCE655343:LCK655343 LMA655343:LMG655343 LVW655343:LWC655343 MFS655343:MFY655343 MPO655343:MPU655343 MZK655343:MZQ655343 NJG655343:NJM655343 NTC655343:NTI655343 OCY655343:ODE655343 OMU655343:ONA655343 OWQ655343:OWW655343 PGM655343:PGS655343 PQI655343:PQO655343 QAE655343:QAK655343 QKA655343:QKG655343 QTW655343:QUC655343 RDS655343:RDY655343 RNO655343:RNU655343 RXK655343:RXQ655343 SHG655343:SHM655343 SRC655343:SRI655343 TAY655343:TBE655343 TKU655343:TLA655343 TUQ655343:TUW655343 UEM655343:UES655343 UOI655343:UOO655343 UYE655343:UYK655343 VIA655343:VIG655343 VRW655343:VSC655343 WBS655343:WBY655343 WLO655343:WLU655343 WVK655343:WVQ655343 IY720879:JE720879 SU720879:TA720879 ACQ720879:ACW720879 AMM720879:AMS720879 AWI720879:AWO720879 BGE720879:BGK720879 BQA720879:BQG720879 BZW720879:CAC720879 CJS720879:CJY720879 CTO720879:CTU720879 DDK720879:DDQ720879 DNG720879:DNM720879 DXC720879:DXI720879 EGY720879:EHE720879 EQU720879:ERA720879 FAQ720879:FAW720879 FKM720879:FKS720879 FUI720879:FUO720879 GEE720879:GEK720879 GOA720879:GOG720879 GXW720879:GYC720879 HHS720879:HHY720879 HRO720879:HRU720879 IBK720879:IBQ720879 ILG720879:ILM720879 IVC720879:IVI720879 JEY720879:JFE720879 JOU720879:JPA720879 JYQ720879:JYW720879 KIM720879:KIS720879 KSI720879:KSO720879 LCE720879:LCK720879 LMA720879:LMG720879 LVW720879:LWC720879 MFS720879:MFY720879 MPO720879:MPU720879 MZK720879:MZQ720879 NJG720879:NJM720879 NTC720879:NTI720879 OCY720879:ODE720879 OMU720879:ONA720879 OWQ720879:OWW720879 PGM720879:PGS720879 PQI720879:PQO720879 QAE720879:QAK720879 QKA720879:QKG720879 QTW720879:QUC720879 RDS720879:RDY720879 RNO720879:RNU720879 RXK720879:RXQ720879 SHG720879:SHM720879 SRC720879:SRI720879 TAY720879:TBE720879 TKU720879:TLA720879 TUQ720879:TUW720879 UEM720879:UES720879 UOI720879:UOO720879 UYE720879:UYK720879 VIA720879:VIG720879 VRW720879:VSC720879 WBS720879:WBY720879 WLO720879:WLU720879 WVK720879:WVQ720879 IY786415:JE786415 SU786415:TA786415 ACQ786415:ACW786415 AMM786415:AMS786415 AWI786415:AWO786415 BGE786415:BGK786415 BQA786415:BQG786415 BZW786415:CAC786415 CJS786415:CJY786415 CTO786415:CTU786415 DDK786415:DDQ786415 DNG786415:DNM786415 DXC786415:DXI786415 EGY786415:EHE786415 EQU786415:ERA786415 FAQ786415:FAW786415 FKM786415:FKS786415 FUI786415:FUO786415 GEE786415:GEK786415 GOA786415:GOG786415 GXW786415:GYC786415 HHS786415:HHY786415 HRO786415:HRU786415 IBK786415:IBQ786415 ILG786415:ILM786415 IVC786415:IVI786415 JEY786415:JFE786415 JOU786415:JPA786415 JYQ786415:JYW786415 KIM786415:KIS786415 KSI786415:KSO786415 LCE786415:LCK786415 LMA786415:LMG786415 LVW786415:LWC786415 MFS786415:MFY786415 MPO786415:MPU786415 MZK786415:MZQ786415 NJG786415:NJM786415 NTC786415:NTI786415 OCY786415:ODE786415 OMU786415:ONA786415 OWQ786415:OWW786415 PGM786415:PGS786415 PQI786415:PQO786415 QAE786415:QAK786415 QKA786415:QKG786415 QTW786415:QUC786415 RDS786415:RDY786415 RNO786415:RNU786415 RXK786415:RXQ786415 SHG786415:SHM786415 SRC786415:SRI786415 TAY786415:TBE786415 TKU786415:TLA786415 TUQ786415:TUW786415 UEM786415:UES786415 UOI786415:UOO786415 UYE786415:UYK786415 VIA786415:VIG786415 VRW786415:VSC786415 WBS786415:WBY786415 WLO786415:WLU786415 WVK786415:WVQ786415 IY851951:JE851951 SU851951:TA851951 ACQ851951:ACW851951 AMM851951:AMS851951 AWI851951:AWO851951 BGE851951:BGK851951 BQA851951:BQG851951 BZW851951:CAC851951 CJS851951:CJY851951 CTO851951:CTU851951 DDK851951:DDQ851951 DNG851951:DNM851951 DXC851951:DXI851951 EGY851951:EHE851951 EQU851951:ERA851951 FAQ851951:FAW851951 FKM851951:FKS851951 FUI851951:FUO851951 GEE851951:GEK851951 GOA851951:GOG851951 GXW851951:GYC851951 HHS851951:HHY851951 HRO851951:HRU851951 IBK851951:IBQ851951 ILG851951:ILM851951 IVC851951:IVI851951 JEY851951:JFE851951 JOU851951:JPA851951 JYQ851951:JYW851951 KIM851951:KIS851951 KSI851951:KSO851951 LCE851951:LCK851951 LMA851951:LMG851951 LVW851951:LWC851951 MFS851951:MFY851951 MPO851951:MPU851951 MZK851951:MZQ851951 NJG851951:NJM851951 NTC851951:NTI851951 OCY851951:ODE851951 OMU851951:ONA851951 OWQ851951:OWW851951 PGM851951:PGS851951 PQI851951:PQO851951 QAE851951:QAK851951 QKA851951:QKG851951 QTW851951:QUC851951 RDS851951:RDY851951 RNO851951:RNU851951 RXK851951:RXQ851951 SHG851951:SHM851951 SRC851951:SRI851951 TAY851951:TBE851951 TKU851951:TLA851951 TUQ851951:TUW851951 UEM851951:UES851951 UOI851951:UOO851951 UYE851951:UYK851951 VIA851951:VIG851951 VRW851951:VSC851951 WBS851951:WBY851951 WLO851951:WLU851951 WVK851951:WVQ851951 IY917487:JE917487 SU917487:TA917487 ACQ917487:ACW917487 AMM917487:AMS917487 AWI917487:AWO917487 BGE917487:BGK917487 BQA917487:BQG917487 BZW917487:CAC917487 CJS917487:CJY917487 CTO917487:CTU917487 DDK917487:DDQ917487 DNG917487:DNM917487 DXC917487:DXI917487 EGY917487:EHE917487 EQU917487:ERA917487 FAQ917487:FAW917487 FKM917487:FKS917487 FUI917487:FUO917487 GEE917487:GEK917487 GOA917487:GOG917487 GXW917487:GYC917487 HHS917487:HHY917487 HRO917487:HRU917487 IBK917487:IBQ917487 ILG917487:ILM917487 IVC917487:IVI917487 JEY917487:JFE917487 JOU917487:JPA917487 JYQ917487:JYW917487 KIM917487:KIS917487 KSI917487:KSO917487 LCE917487:LCK917487 LMA917487:LMG917487 LVW917487:LWC917487 MFS917487:MFY917487 MPO917487:MPU917487 MZK917487:MZQ917487 NJG917487:NJM917487 NTC917487:NTI917487 OCY917487:ODE917487 OMU917487:ONA917487 OWQ917487:OWW917487 PGM917487:PGS917487 PQI917487:PQO917487 QAE917487:QAK917487 QKA917487:QKG917487 QTW917487:QUC917487 RDS917487:RDY917487 RNO917487:RNU917487 RXK917487:RXQ917487 SHG917487:SHM917487 SRC917487:SRI917487 TAY917487:TBE917487 TKU917487:TLA917487 TUQ917487:TUW917487 UEM917487:UES917487 UOI917487:UOO917487 UYE917487:UYK917487 VIA917487:VIG917487 VRW917487:VSC917487 WBS917487:WBY917487 WLO917487:WLU917487 WVK917487:WVQ917487 IY983023:JE983023 SU983023:TA983023 ACQ983023:ACW983023 AMM983023:AMS983023 AWI983023:AWO983023 BGE983023:BGK983023 BQA983023:BQG983023 BZW983023:CAC983023 CJS983023:CJY983023 CTO983023:CTU983023 DDK983023:DDQ983023 DNG983023:DNM983023 DXC983023:DXI983023 EGY983023:EHE983023 EQU983023:ERA983023 FAQ983023:FAW983023 FKM983023:FKS983023 FUI983023:FUO983023 GEE983023:GEK983023 GOA983023:GOG983023 GXW983023:GYC983023 HHS983023:HHY983023 HRO983023:HRU983023 IBK983023:IBQ983023 ILG983023:ILM983023 IVC983023:IVI983023 JEY983023:JFE983023 JOU983023:JPA983023 JYQ983023:JYW983023 KIM983023:KIS983023 KSI983023:KSO983023 LCE983023:LCK983023 LMA983023:LMG983023 LVW983023:LWC983023 MFS983023:MFY983023 MPO983023:MPU983023 MZK983023:MZQ983023 NJG983023:NJM983023 NTC983023:NTI983023 OCY983023:ODE983023 OMU983023:ONA983023 OWQ983023:OWW983023 PGM983023:PGS983023 PQI983023:PQO983023 QAE983023:QAK983023 QKA983023:QKG983023 QTW983023:QUC983023 RDS983023:RDY983023 RNO983023:RNU983023 RXK983023:RXQ983023 SHG983023:SHM983023 SRC983023:SRI983023 TAY983023:TBE983023 TKU983023:TLA983023 TUQ983023:TUW983023 UEM983023:UES983023 UOI983023:UOO983023 UYE983023:UYK983023 VIA983023:VIG983023 VRW983023:VSC983023 WBS983023:WBY983023 WLO983023:WLU983023 C983023:I983023 C917487:I917487 C851951:I851951 C786415:I786415 C720879:I720879 C655343:I655343 C589807:I589807 C524271:I524271 C458735:I458735 C393199:I393199 C327663:I327663 C262127:I262127 C196591:I196591 C131055:I131055 C65519:I65519">
      <formula1>Visit_types</formula1>
    </dataValidation>
    <dataValidation type="list" allowBlank="1" showInputMessage="1" showErrorMessage="1" sqref="WVR983023 IY65557:JE65557 SU65557:TA65557 ACQ65557:ACW65557 AMM65557:AMS65557 AWI65557:AWO65557 BGE65557:BGK65557 BQA65557:BQG65557 BZW65557:CAC65557 CJS65557:CJY65557 CTO65557:CTU65557 DDK65557:DDQ65557 DNG65557:DNM65557 DXC65557:DXI65557 EGY65557:EHE65557 EQU65557:ERA65557 FAQ65557:FAW65557 FKM65557:FKS65557 FUI65557:FUO65557 GEE65557:GEK65557 GOA65557:GOG65557 GXW65557:GYC65557 HHS65557:HHY65557 HRO65557:HRU65557 IBK65557:IBQ65557 ILG65557:ILM65557 IVC65557:IVI65557 JEY65557:JFE65557 JOU65557:JPA65557 JYQ65557:JYW65557 KIM65557:KIS65557 KSI65557:KSO65557 LCE65557:LCK65557 LMA65557:LMG65557 LVW65557:LWC65557 MFS65557:MFY65557 MPO65557:MPU65557 MZK65557:MZQ65557 NJG65557:NJM65557 NTC65557:NTI65557 OCY65557:ODE65557 OMU65557:ONA65557 OWQ65557:OWW65557 PGM65557:PGS65557 PQI65557:PQO65557 QAE65557:QAK65557 QKA65557:QKG65557 QTW65557:QUC65557 RDS65557:RDY65557 RNO65557:RNU65557 RXK65557:RXQ65557 SHG65557:SHM65557 SRC65557:SRI65557 TAY65557:TBE65557 TKU65557:TLA65557 TUQ65557:TUW65557 UEM65557:UES65557 UOI65557:UOO65557 UYE65557:UYK65557 VIA65557:VIG65557 VRW65557:VSC65557 WBS65557:WBY65557 WLO65557:WLU65557 WVK65557:WVQ65557 IY131093:JE131093 SU131093:TA131093 ACQ131093:ACW131093 AMM131093:AMS131093 AWI131093:AWO131093 BGE131093:BGK131093 BQA131093:BQG131093 BZW131093:CAC131093 CJS131093:CJY131093 CTO131093:CTU131093 DDK131093:DDQ131093 DNG131093:DNM131093 DXC131093:DXI131093 EGY131093:EHE131093 EQU131093:ERA131093 FAQ131093:FAW131093 FKM131093:FKS131093 FUI131093:FUO131093 GEE131093:GEK131093 GOA131093:GOG131093 GXW131093:GYC131093 HHS131093:HHY131093 HRO131093:HRU131093 IBK131093:IBQ131093 ILG131093:ILM131093 IVC131093:IVI131093 JEY131093:JFE131093 JOU131093:JPA131093 JYQ131093:JYW131093 KIM131093:KIS131093 KSI131093:KSO131093 LCE131093:LCK131093 LMA131093:LMG131093 LVW131093:LWC131093 MFS131093:MFY131093 MPO131093:MPU131093 MZK131093:MZQ131093 NJG131093:NJM131093 NTC131093:NTI131093 OCY131093:ODE131093 OMU131093:ONA131093 OWQ131093:OWW131093 PGM131093:PGS131093 PQI131093:PQO131093 QAE131093:QAK131093 QKA131093:QKG131093 QTW131093:QUC131093 RDS131093:RDY131093 RNO131093:RNU131093 RXK131093:RXQ131093 SHG131093:SHM131093 SRC131093:SRI131093 TAY131093:TBE131093 TKU131093:TLA131093 TUQ131093:TUW131093 UEM131093:UES131093 UOI131093:UOO131093 UYE131093:UYK131093 VIA131093:VIG131093 VRW131093:VSC131093 WBS131093:WBY131093 WLO131093:WLU131093 WVK131093:WVQ131093 IY196629:JE196629 SU196629:TA196629 ACQ196629:ACW196629 AMM196629:AMS196629 AWI196629:AWO196629 BGE196629:BGK196629 BQA196629:BQG196629 BZW196629:CAC196629 CJS196629:CJY196629 CTO196629:CTU196629 DDK196629:DDQ196629 DNG196629:DNM196629 DXC196629:DXI196629 EGY196629:EHE196629 EQU196629:ERA196629 FAQ196629:FAW196629 FKM196629:FKS196629 FUI196629:FUO196629 GEE196629:GEK196629 GOA196629:GOG196629 GXW196629:GYC196629 HHS196629:HHY196629 HRO196629:HRU196629 IBK196629:IBQ196629 ILG196629:ILM196629 IVC196629:IVI196629 JEY196629:JFE196629 JOU196629:JPA196629 JYQ196629:JYW196629 KIM196629:KIS196629 KSI196629:KSO196629 LCE196629:LCK196629 LMA196629:LMG196629 LVW196629:LWC196629 MFS196629:MFY196629 MPO196629:MPU196629 MZK196629:MZQ196629 NJG196629:NJM196629 NTC196629:NTI196629 OCY196629:ODE196629 OMU196629:ONA196629 OWQ196629:OWW196629 PGM196629:PGS196629 PQI196629:PQO196629 QAE196629:QAK196629 QKA196629:QKG196629 QTW196629:QUC196629 RDS196629:RDY196629 RNO196629:RNU196629 RXK196629:RXQ196629 SHG196629:SHM196629 SRC196629:SRI196629 TAY196629:TBE196629 TKU196629:TLA196629 TUQ196629:TUW196629 UEM196629:UES196629 UOI196629:UOO196629 UYE196629:UYK196629 VIA196629:VIG196629 VRW196629:VSC196629 WBS196629:WBY196629 WLO196629:WLU196629 WVK196629:WVQ196629 IY262165:JE262165 SU262165:TA262165 ACQ262165:ACW262165 AMM262165:AMS262165 AWI262165:AWO262165 BGE262165:BGK262165 BQA262165:BQG262165 BZW262165:CAC262165 CJS262165:CJY262165 CTO262165:CTU262165 DDK262165:DDQ262165 DNG262165:DNM262165 DXC262165:DXI262165 EGY262165:EHE262165 EQU262165:ERA262165 FAQ262165:FAW262165 FKM262165:FKS262165 FUI262165:FUO262165 GEE262165:GEK262165 GOA262165:GOG262165 GXW262165:GYC262165 HHS262165:HHY262165 HRO262165:HRU262165 IBK262165:IBQ262165 ILG262165:ILM262165 IVC262165:IVI262165 JEY262165:JFE262165 JOU262165:JPA262165 JYQ262165:JYW262165 KIM262165:KIS262165 KSI262165:KSO262165 LCE262165:LCK262165 LMA262165:LMG262165 LVW262165:LWC262165 MFS262165:MFY262165 MPO262165:MPU262165 MZK262165:MZQ262165 NJG262165:NJM262165 NTC262165:NTI262165 OCY262165:ODE262165 OMU262165:ONA262165 OWQ262165:OWW262165 PGM262165:PGS262165 PQI262165:PQO262165 QAE262165:QAK262165 QKA262165:QKG262165 QTW262165:QUC262165 RDS262165:RDY262165 RNO262165:RNU262165 RXK262165:RXQ262165 SHG262165:SHM262165 SRC262165:SRI262165 TAY262165:TBE262165 TKU262165:TLA262165 TUQ262165:TUW262165 UEM262165:UES262165 UOI262165:UOO262165 UYE262165:UYK262165 VIA262165:VIG262165 VRW262165:VSC262165 WBS262165:WBY262165 WLO262165:WLU262165 WVK262165:WVQ262165 IY327701:JE327701 SU327701:TA327701 ACQ327701:ACW327701 AMM327701:AMS327701 AWI327701:AWO327701 BGE327701:BGK327701 BQA327701:BQG327701 BZW327701:CAC327701 CJS327701:CJY327701 CTO327701:CTU327701 DDK327701:DDQ327701 DNG327701:DNM327701 DXC327701:DXI327701 EGY327701:EHE327701 EQU327701:ERA327701 FAQ327701:FAW327701 FKM327701:FKS327701 FUI327701:FUO327701 GEE327701:GEK327701 GOA327701:GOG327701 GXW327701:GYC327701 HHS327701:HHY327701 HRO327701:HRU327701 IBK327701:IBQ327701 ILG327701:ILM327701 IVC327701:IVI327701 JEY327701:JFE327701 JOU327701:JPA327701 JYQ327701:JYW327701 KIM327701:KIS327701 KSI327701:KSO327701 LCE327701:LCK327701 LMA327701:LMG327701 LVW327701:LWC327701 MFS327701:MFY327701 MPO327701:MPU327701 MZK327701:MZQ327701 NJG327701:NJM327701 NTC327701:NTI327701 OCY327701:ODE327701 OMU327701:ONA327701 OWQ327701:OWW327701 PGM327701:PGS327701 PQI327701:PQO327701 QAE327701:QAK327701 QKA327701:QKG327701 QTW327701:QUC327701 RDS327701:RDY327701 RNO327701:RNU327701 RXK327701:RXQ327701 SHG327701:SHM327701 SRC327701:SRI327701 TAY327701:TBE327701 TKU327701:TLA327701 TUQ327701:TUW327701 UEM327701:UES327701 UOI327701:UOO327701 UYE327701:UYK327701 VIA327701:VIG327701 VRW327701:VSC327701 WBS327701:WBY327701 WLO327701:WLU327701 WVK327701:WVQ327701 IY393237:JE393237 SU393237:TA393237 ACQ393237:ACW393237 AMM393237:AMS393237 AWI393237:AWO393237 BGE393237:BGK393237 BQA393237:BQG393237 BZW393237:CAC393237 CJS393237:CJY393237 CTO393237:CTU393237 DDK393237:DDQ393237 DNG393237:DNM393237 DXC393237:DXI393237 EGY393237:EHE393237 EQU393237:ERA393237 FAQ393237:FAW393237 FKM393237:FKS393237 FUI393237:FUO393237 GEE393237:GEK393237 GOA393237:GOG393237 GXW393237:GYC393237 HHS393237:HHY393237 HRO393237:HRU393237 IBK393237:IBQ393237 ILG393237:ILM393237 IVC393237:IVI393237 JEY393237:JFE393237 JOU393237:JPA393237 JYQ393237:JYW393237 KIM393237:KIS393237 KSI393237:KSO393237 LCE393237:LCK393237 LMA393237:LMG393237 LVW393237:LWC393237 MFS393237:MFY393237 MPO393237:MPU393237 MZK393237:MZQ393237 NJG393237:NJM393237 NTC393237:NTI393237 OCY393237:ODE393237 OMU393237:ONA393237 OWQ393237:OWW393237 PGM393237:PGS393237 PQI393237:PQO393237 QAE393237:QAK393237 QKA393237:QKG393237 QTW393237:QUC393237 RDS393237:RDY393237 RNO393237:RNU393237 RXK393237:RXQ393237 SHG393237:SHM393237 SRC393237:SRI393237 TAY393237:TBE393237 TKU393237:TLA393237 TUQ393237:TUW393237 UEM393237:UES393237 UOI393237:UOO393237 UYE393237:UYK393237 VIA393237:VIG393237 VRW393237:VSC393237 WBS393237:WBY393237 WLO393237:WLU393237 WVK393237:WVQ393237 IY458773:JE458773 SU458773:TA458773 ACQ458773:ACW458773 AMM458773:AMS458773 AWI458773:AWO458773 BGE458773:BGK458773 BQA458773:BQG458773 BZW458773:CAC458773 CJS458773:CJY458773 CTO458773:CTU458773 DDK458773:DDQ458773 DNG458773:DNM458773 DXC458773:DXI458773 EGY458773:EHE458773 EQU458773:ERA458773 FAQ458773:FAW458773 FKM458773:FKS458773 FUI458773:FUO458773 GEE458773:GEK458773 GOA458773:GOG458773 GXW458773:GYC458773 HHS458773:HHY458773 HRO458773:HRU458773 IBK458773:IBQ458773 ILG458773:ILM458773 IVC458773:IVI458773 JEY458773:JFE458773 JOU458773:JPA458773 JYQ458773:JYW458773 KIM458773:KIS458773 KSI458773:KSO458773 LCE458773:LCK458773 LMA458773:LMG458773 LVW458773:LWC458773 MFS458773:MFY458773 MPO458773:MPU458773 MZK458773:MZQ458773 NJG458773:NJM458773 NTC458773:NTI458773 OCY458773:ODE458773 OMU458773:ONA458773 OWQ458773:OWW458773 PGM458773:PGS458773 PQI458773:PQO458773 QAE458773:QAK458773 QKA458773:QKG458773 QTW458773:QUC458773 RDS458773:RDY458773 RNO458773:RNU458773 RXK458773:RXQ458773 SHG458773:SHM458773 SRC458773:SRI458773 TAY458773:TBE458773 TKU458773:TLA458773 TUQ458773:TUW458773 UEM458773:UES458773 UOI458773:UOO458773 UYE458773:UYK458773 VIA458773:VIG458773 VRW458773:VSC458773 WBS458773:WBY458773 WLO458773:WLU458773 WVK458773:WVQ458773 IY524309:JE524309 SU524309:TA524309 ACQ524309:ACW524309 AMM524309:AMS524309 AWI524309:AWO524309 BGE524309:BGK524309 BQA524309:BQG524309 BZW524309:CAC524309 CJS524309:CJY524309 CTO524309:CTU524309 DDK524309:DDQ524309 DNG524309:DNM524309 DXC524309:DXI524309 EGY524309:EHE524309 EQU524309:ERA524309 FAQ524309:FAW524309 FKM524309:FKS524309 FUI524309:FUO524309 GEE524309:GEK524309 GOA524309:GOG524309 GXW524309:GYC524309 HHS524309:HHY524309 HRO524309:HRU524309 IBK524309:IBQ524309 ILG524309:ILM524309 IVC524309:IVI524309 JEY524309:JFE524309 JOU524309:JPA524309 JYQ524309:JYW524309 KIM524309:KIS524309 KSI524309:KSO524309 LCE524309:LCK524309 LMA524309:LMG524309 LVW524309:LWC524309 MFS524309:MFY524309 MPO524309:MPU524309 MZK524309:MZQ524309 NJG524309:NJM524309 NTC524309:NTI524309 OCY524309:ODE524309 OMU524309:ONA524309 OWQ524309:OWW524309 PGM524309:PGS524309 PQI524309:PQO524309 QAE524309:QAK524309 QKA524309:QKG524309 QTW524309:QUC524309 RDS524309:RDY524309 RNO524309:RNU524309 RXK524309:RXQ524309 SHG524309:SHM524309 SRC524309:SRI524309 TAY524309:TBE524309 TKU524309:TLA524309 TUQ524309:TUW524309 UEM524309:UES524309 UOI524309:UOO524309 UYE524309:UYK524309 VIA524309:VIG524309 VRW524309:VSC524309 WBS524309:WBY524309 WLO524309:WLU524309 WVK524309:WVQ524309 IY589845:JE589845 SU589845:TA589845 ACQ589845:ACW589845 AMM589845:AMS589845 AWI589845:AWO589845 BGE589845:BGK589845 BQA589845:BQG589845 BZW589845:CAC589845 CJS589845:CJY589845 CTO589845:CTU589845 DDK589845:DDQ589845 DNG589845:DNM589845 DXC589845:DXI589845 EGY589845:EHE589845 EQU589845:ERA589845 FAQ589845:FAW589845 FKM589845:FKS589845 FUI589845:FUO589845 GEE589845:GEK589845 GOA589845:GOG589845 GXW589845:GYC589845 HHS589845:HHY589845 HRO589845:HRU589845 IBK589845:IBQ589845 ILG589845:ILM589845 IVC589845:IVI589845 JEY589845:JFE589845 JOU589845:JPA589845 JYQ589845:JYW589845 KIM589845:KIS589845 KSI589845:KSO589845 LCE589845:LCK589845 LMA589845:LMG589845 LVW589845:LWC589845 MFS589845:MFY589845 MPO589845:MPU589845 MZK589845:MZQ589845 NJG589845:NJM589845 NTC589845:NTI589845 OCY589845:ODE589845 OMU589845:ONA589845 OWQ589845:OWW589845 PGM589845:PGS589845 PQI589845:PQO589845 QAE589845:QAK589845 QKA589845:QKG589845 QTW589845:QUC589845 RDS589845:RDY589845 RNO589845:RNU589845 RXK589845:RXQ589845 SHG589845:SHM589845 SRC589845:SRI589845 TAY589845:TBE589845 TKU589845:TLA589845 TUQ589845:TUW589845 UEM589845:UES589845 UOI589845:UOO589845 UYE589845:UYK589845 VIA589845:VIG589845 VRW589845:VSC589845 WBS589845:WBY589845 WLO589845:WLU589845 WVK589845:WVQ589845 IY655381:JE655381 SU655381:TA655381 ACQ655381:ACW655381 AMM655381:AMS655381 AWI655381:AWO655381 BGE655381:BGK655381 BQA655381:BQG655381 BZW655381:CAC655381 CJS655381:CJY655381 CTO655381:CTU655381 DDK655381:DDQ655381 DNG655381:DNM655381 DXC655381:DXI655381 EGY655381:EHE655381 EQU655381:ERA655381 FAQ655381:FAW655381 FKM655381:FKS655381 FUI655381:FUO655381 GEE655381:GEK655381 GOA655381:GOG655381 GXW655381:GYC655381 HHS655381:HHY655381 HRO655381:HRU655381 IBK655381:IBQ655381 ILG655381:ILM655381 IVC655381:IVI655381 JEY655381:JFE655381 JOU655381:JPA655381 JYQ655381:JYW655381 KIM655381:KIS655381 KSI655381:KSO655381 LCE655381:LCK655381 LMA655381:LMG655381 LVW655381:LWC655381 MFS655381:MFY655381 MPO655381:MPU655381 MZK655381:MZQ655381 NJG655381:NJM655381 NTC655381:NTI655381 OCY655381:ODE655381 OMU655381:ONA655381 OWQ655381:OWW655381 PGM655381:PGS655381 PQI655381:PQO655381 QAE655381:QAK655381 QKA655381:QKG655381 QTW655381:QUC655381 RDS655381:RDY655381 RNO655381:RNU655381 RXK655381:RXQ655381 SHG655381:SHM655381 SRC655381:SRI655381 TAY655381:TBE655381 TKU655381:TLA655381 TUQ655381:TUW655381 UEM655381:UES655381 UOI655381:UOO655381 UYE655381:UYK655381 VIA655381:VIG655381 VRW655381:VSC655381 WBS655381:WBY655381 WLO655381:WLU655381 WVK655381:WVQ655381 IY720917:JE720917 SU720917:TA720917 ACQ720917:ACW720917 AMM720917:AMS720917 AWI720917:AWO720917 BGE720917:BGK720917 BQA720917:BQG720917 BZW720917:CAC720917 CJS720917:CJY720917 CTO720917:CTU720917 DDK720917:DDQ720917 DNG720917:DNM720917 DXC720917:DXI720917 EGY720917:EHE720917 EQU720917:ERA720917 FAQ720917:FAW720917 FKM720917:FKS720917 FUI720917:FUO720917 GEE720917:GEK720917 GOA720917:GOG720917 GXW720917:GYC720917 HHS720917:HHY720917 HRO720917:HRU720917 IBK720917:IBQ720917 ILG720917:ILM720917 IVC720917:IVI720917 JEY720917:JFE720917 JOU720917:JPA720917 JYQ720917:JYW720917 KIM720917:KIS720917 KSI720917:KSO720917 LCE720917:LCK720917 LMA720917:LMG720917 LVW720917:LWC720917 MFS720917:MFY720917 MPO720917:MPU720917 MZK720917:MZQ720917 NJG720917:NJM720917 NTC720917:NTI720917 OCY720917:ODE720917 OMU720917:ONA720917 OWQ720917:OWW720917 PGM720917:PGS720917 PQI720917:PQO720917 QAE720917:QAK720917 QKA720917:QKG720917 QTW720917:QUC720917 RDS720917:RDY720917 RNO720917:RNU720917 RXK720917:RXQ720917 SHG720917:SHM720917 SRC720917:SRI720917 TAY720917:TBE720917 TKU720917:TLA720917 TUQ720917:TUW720917 UEM720917:UES720917 UOI720917:UOO720917 UYE720917:UYK720917 VIA720917:VIG720917 VRW720917:VSC720917 WBS720917:WBY720917 WLO720917:WLU720917 WVK720917:WVQ720917 IY786453:JE786453 SU786453:TA786453 ACQ786453:ACW786453 AMM786453:AMS786453 AWI786453:AWO786453 BGE786453:BGK786453 BQA786453:BQG786453 BZW786453:CAC786453 CJS786453:CJY786453 CTO786453:CTU786453 DDK786453:DDQ786453 DNG786453:DNM786453 DXC786453:DXI786453 EGY786453:EHE786453 EQU786453:ERA786453 FAQ786453:FAW786453 FKM786453:FKS786453 FUI786453:FUO786453 GEE786453:GEK786453 GOA786453:GOG786453 GXW786453:GYC786453 HHS786453:HHY786453 HRO786453:HRU786453 IBK786453:IBQ786453 ILG786453:ILM786453 IVC786453:IVI786453 JEY786453:JFE786453 JOU786453:JPA786453 JYQ786453:JYW786453 KIM786453:KIS786453 KSI786453:KSO786453 LCE786453:LCK786453 LMA786453:LMG786453 LVW786453:LWC786453 MFS786453:MFY786453 MPO786453:MPU786453 MZK786453:MZQ786453 NJG786453:NJM786453 NTC786453:NTI786453 OCY786453:ODE786453 OMU786453:ONA786453 OWQ786453:OWW786453 PGM786453:PGS786453 PQI786453:PQO786453 QAE786453:QAK786453 QKA786453:QKG786453 QTW786453:QUC786453 RDS786453:RDY786453 RNO786453:RNU786453 RXK786453:RXQ786453 SHG786453:SHM786453 SRC786453:SRI786453 TAY786453:TBE786453 TKU786453:TLA786453 TUQ786453:TUW786453 UEM786453:UES786453 UOI786453:UOO786453 UYE786453:UYK786453 VIA786453:VIG786453 VRW786453:VSC786453 WBS786453:WBY786453 WLO786453:WLU786453 WVK786453:WVQ786453 IY851989:JE851989 SU851989:TA851989 ACQ851989:ACW851989 AMM851989:AMS851989 AWI851989:AWO851989 BGE851989:BGK851989 BQA851989:BQG851989 BZW851989:CAC851989 CJS851989:CJY851989 CTO851989:CTU851989 DDK851989:DDQ851989 DNG851989:DNM851989 DXC851989:DXI851989 EGY851989:EHE851989 EQU851989:ERA851989 FAQ851989:FAW851989 FKM851989:FKS851989 FUI851989:FUO851989 GEE851989:GEK851989 GOA851989:GOG851989 GXW851989:GYC851989 HHS851989:HHY851989 HRO851989:HRU851989 IBK851989:IBQ851989 ILG851989:ILM851989 IVC851989:IVI851989 JEY851989:JFE851989 JOU851989:JPA851989 JYQ851989:JYW851989 KIM851989:KIS851989 KSI851989:KSO851989 LCE851989:LCK851989 LMA851989:LMG851989 LVW851989:LWC851989 MFS851989:MFY851989 MPO851989:MPU851989 MZK851989:MZQ851989 NJG851989:NJM851989 NTC851989:NTI851989 OCY851989:ODE851989 OMU851989:ONA851989 OWQ851989:OWW851989 PGM851989:PGS851989 PQI851989:PQO851989 QAE851989:QAK851989 QKA851989:QKG851989 QTW851989:QUC851989 RDS851989:RDY851989 RNO851989:RNU851989 RXK851989:RXQ851989 SHG851989:SHM851989 SRC851989:SRI851989 TAY851989:TBE851989 TKU851989:TLA851989 TUQ851989:TUW851989 UEM851989:UES851989 UOI851989:UOO851989 UYE851989:UYK851989 VIA851989:VIG851989 VRW851989:VSC851989 WBS851989:WBY851989 WLO851989:WLU851989 WVK851989:WVQ851989 IY917525:JE917525 SU917525:TA917525 ACQ917525:ACW917525 AMM917525:AMS917525 AWI917525:AWO917525 BGE917525:BGK917525 BQA917525:BQG917525 BZW917525:CAC917525 CJS917525:CJY917525 CTO917525:CTU917525 DDK917525:DDQ917525 DNG917525:DNM917525 DXC917525:DXI917525 EGY917525:EHE917525 EQU917525:ERA917525 FAQ917525:FAW917525 FKM917525:FKS917525 FUI917525:FUO917525 GEE917525:GEK917525 GOA917525:GOG917525 GXW917525:GYC917525 HHS917525:HHY917525 HRO917525:HRU917525 IBK917525:IBQ917525 ILG917525:ILM917525 IVC917525:IVI917525 JEY917525:JFE917525 JOU917525:JPA917525 JYQ917525:JYW917525 KIM917525:KIS917525 KSI917525:KSO917525 LCE917525:LCK917525 LMA917525:LMG917525 LVW917525:LWC917525 MFS917525:MFY917525 MPO917525:MPU917525 MZK917525:MZQ917525 NJG917525:NJM917525 NTC917525:NTI917525 OCY917525:ODE917525 OMU917525:ONA917525 OWQ917525:OWW917525 PGM917525:PGS917525 PQI917525:PQO917525 QAE917525:QAK917525 QKA917525:QKG917525 QTW917525:QUC917525 RDS917525:RDY917525 RNO917525:RNU917525 RXK917525:RXQ917525 SHG917525:SHM917525 SRC917525:SRI917525 TAY917525:TBE917525 TKU917525:TLA917525 TUQ917525:TUW917525 UEM917525:UES917525 UOI917525:UOO917525 UYE917525:UYK917525 VIA917525:VIG917525 VRW917525:VSC917525 WBS917525:WBY917525 WLO917525:WLU917525 WVK917525:WVQ917525 IY983061:JE983061 SU983061:TA983061 ACQ983061:ACW983061 AMM983061:AMS983061 AWI983061:AWO983061 BGE983061:BGK983061 BQA983061:BQG983061 BZW983061:CAC983061 CJS983061:CJY983061 CTO983061:CTU983061 DDK983061:DDQ983061 DNG983061:DNM983061 DXC983061:DXI983061 EGY983061:EHE983061 EQU983061:ERA983061 FAQ983061:FAW983061 FKM983061:FKS983061 FUI983061:FUO983061 GEE983061:GEK983061 GOA983061:GOG983061 GXW983061:GYC983061 HHS983061:HHY983061 HRO983061:HRU983061 IBK983061:IBQ983061 ILG983061:ILM983061 IVC983061:IVI983061 JEY983061:JFE983061 JOU983061:JPA983061 JYQ983061:JYW983061 KIM983061:KIS983061 KSI983061:KSO983061 LCE983061:LCK983061 LMA983061:LMG983061 LVW983061:LWC983061 MFS983061:MFY983061 MPO983061:MPU983061 MZK983061:MZQ983061 NJG983061:NJM983061 NTC983061:NTI983061 OCY983061:ODE983061 OMU983061:ONA983061 OWQ983061:OWW983061 PGM983061:PGS983061 PQI983061:PQO983061 QAE983061:QAK983061 QKA983061:QKG983061 QTW983061:QUC983061 RDS983061:RDY983061 RNO983061:RNU983061 RXK983061:RXQ983061 SHG983061:SHM983061 SRC983061:SRI983061 TAY983061:TBE983061 TKU983061:TLA983061 TUQ983061:TUW983061 UEM983061:UES983061 UOI983061:UOO983061 UYE983061:UYK983061 VIA983061:VIG983061 VRW983061:VSC983061 WBS983061:WBY983061 WLO983061:WLU983061 WVK983061:WVQ983061 WLV983023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J65519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J131055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J196591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J262127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J327663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J393199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J458735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J524271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J589807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J655343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J720879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J786415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J851951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J917487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J983023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C983061:I983061 C917525:I917525 C851989:I851989 C786453:I786453 C720917:I720917 C655381:I655381 C589845:I589845 C524309:I524309 C458773:I458773 C393237:I393237 C327701:I327701 C262165:I262165 C196629:I196629 C131093:I131093 C65557:I65557">
      <formula1>Visits</formula1>
    </dataValidation>
    <dataValidation type="list" allowBlank="1" showInputMessage="1" showErrorMessage="1" sqref="B88 B180">
      <formula1>$B$63:$B$104</formula1>
    </dataValidation>
    <dataValidation type="list" allowBlank="1" showInputMessage="1" showErrorMessage="1" sqref="B143:B150">
      <formula1>$B$174:$B$202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 Master List'!$K$38:$K$42</xm:f>
          </x14:formula1>
          <xm:sqref>B41:B49 B132:B140</xm:sqref>
        </x14:dataValidation>
        <x14:dataValidation type="list" allowBlank="1" showInputMessage="1" showErrorMessage="1">
          <x14:formula1>
            <xm:f>'Unit costs'!$B$178:$B$206</xm:f>
          </x14:formula1>
          <xm:sqref>B53:B60</xm:sqref>
        </x14:dataValidation>
        <x14:dataValidation type="list" allowBlank="1" showInputMessage="1" showErrorMessage="1">
          <x14:formula1>
            <xm:f>'Unit costs'!$B$25:$B$66</xm:f>
          </x14:formula1>
          <xm:sqref>B19:B26</xm:sqref>
        </x14:dataValidation>
        <x14:dataValidation type="list" allowBlank="1" showInputMessage="1" showErrorMessage="1">
          <x14:formula1>
            <xm:f>'Drop Down Master List'!$K$25:$K$34</xm:f>
          </x14:formula1>
          <xm:sqref>E41:E49 E132:E140</xm:sqref>
        </x14:dataValidation>
        <x14:dataValidation type="list" allowBlank="1" showInputMessage="1" showErrorMessage="1">
          <x14:formula1>
            <xm:f>'Drop Down Master List'!$K$46:$K$49</xm:f>
          </x14:formula1>
          <xm:sqref>B110:B117</xm:sqref>
        </x14:dataValidation>
        <x14:dataValidation type="list" showInputMessage="1">
          <x14:formula1>
            <xm:f>'Drop Down Master List'!$G$3:$G$87</xm:f>
          </x14:formula1>
          <xm:sqref>B74:B87 B166:B179</xm:sqref>
        </x14:dataValidation>
        <x14:dataValidation type="list" allowBlank="1" showInputMessage="1" showErrorMessage="1">
          <x14:formula1>
            <xm:f>'Unit costs'!$B$86:$B$173</xm:f>
          </x14:formula1>
          <xm:sqref>B104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129"/>
  <sheetViews>
    <sheetView showGridLines="0" workbookViewId="0">
      <selection activeCell="E3" sqref="E3"/>
    </sheetView>
  </sheetViews>
  <sheetFormatPr defaultRowHeight="15" x14ac:dyDescent="0.25"/>
  <cols>
    <col min="1" max="1" width="4.7109375" style="113" customWidth="1"/>
    <col min="2" max="2" width="48.42578125" style="120" customWidth="1"/>
    <col min="3" max="14" width="15.7109375" style="120" customWidth="1"/>
    <col min="15" max="15" width="15.5703125" style="120" customWidth="1"/>
    <col min="16" max="16" width="9.42578125" style="120" customWidth="1"/>
    <col min="17" max="256" width="9.14062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9.14062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9.14062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9.14062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9.14062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9.14062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9.14062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9.14062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9.14062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9.14062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9.14062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9.14062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9.14062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9.14062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9.14062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9.14062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9.14062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9.14062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9.14062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9.14062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9.14062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9.14062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9.14062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9.14062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9.14062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9.14062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9.14062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9.14062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9.14062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9.14062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9.14062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9.14062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9.14062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9.14062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9.14062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9.14062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9.14062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9.14062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9.14062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9.14062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9.14062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9.14062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9.14062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9.14062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9.14062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9.14062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9.14062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9.14062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9.14062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9.14062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9.14062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9.14062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9.14062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9.14062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9.14062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9.14062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9.14062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9.14062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9.14062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9.14062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9.14062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9.14062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9.14062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9.14062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ht="15.75" thickBot="1" x14ac:dyDescent="0.3">
      <c r="A5" s="119"/>
      <c r="B5" s="110"/>
      <c r="C5" s="211"/>
      <c r="D5" s="211"/>
      <c r="E5" s="212"/>
      <c r="F5" s="111"/>
      <c r="G5" s="111"/>
      <c r="H5" s="111"/>
      <c r="I5" s="111"/>
      <c r="J5" s="119"/>
      <c r="K5" s="119"/>
      <c r="L5" s="119"/>
      <c r="M5" s="119"/>
      <c r="N5" s="119"/>
      <c r="O5" s="119"/>
      <c r="P5" s="119"/>
    </row>
    <row r="6" spans="1:49" s="112" customFormat="1" ht="22.9" customHeight="1" x14ac:dyDescent="0.25">
      <c r="B6" s="460" t="s">
        <v>414</v>
      </c>
      <c r="C6" s="461"/>
      <c r="D6" s="461"/>
      <c r="E6" s="461"/>
      <c r="F6" s="461"/>
      <c r="G6" s="462"/>
      <c r="H6" s="109"/>
      <c r="I6" s="119"/>
      <c r="J6" s="119"/>
      <c r="K6" s="119"/>
      <c r="L6" s="119"/>
      <c r="M6" s="119"/>
      <c r="N6" s="119"/>
      <c r="O6" s="119"/>
    </row>
    <row r="7" spans="1:49" s="112" customFormat="1" ht="18.600000000000001" customHeight="1" x14ac:dyDescent="0.25">
      <c r="B7" s="213" t="s">
        <v>222</v>
      </c>
      <c r="C7" s="214" t="s">
        <v>425</v>
      </c>
      <c r="D7" s="214" t="s">
        <v>415</v>
      </c>
      <c r="E7" s="215" t="s">
        <v>416</v>
      </c>
      <c r="F7" s="216" t="s">
        <v>417</v>
      </c>
      <c r="G7" s="217" t="s">
        <v>225</v>
      </c>
      <c r="H7" s="218" t="s">
        <v>321</v>
      </c>
      <c r="I7" s="109"/>
      <c r="J7" s="119"/>
      <c r="K7" s="119"/>
      <c r="L7" s="119"/>
      <c r="M7" s="119"/>
      <c r="N7" s="119"/>
      <c r="O7" s="119"/>
      <c r="P7" s="119"/>
    </row>
    <row r="8" spans="1:49" s="112" customFormat="1" x14ac:dyDescent="0.25">
      <c r="B8" s="219" t="str">
        <f>'Set up'!B18</f>
        <v>Abbott M2000 RealTime</v>
      </c>
      <c r="C8" s="350">
        <f>IFERROR(($O$43/365)/'Set up'!$C18,"")</f>
        <v>0.10589295026540993</v>
      </c>
      <c r="D8" s="350">
        <f>IFERROR($D$71/'Set up'!$C18,"")</f>
        <v>1.1983249879991505E-2</v>
      </c>
      <c r="E8" s="350">
        <f>IFERROR($F$71/'Set up'!$C18,"")</f>
        <v>4.4674104720142131E-3</v>
      </c>
      <c r="F8" s="365">
        <f>IFERROR(SUM(C$94:C$101),"")</f>
        <v>0.22600617187500005</v>
      </c>
      <c r="G8" s="365">
        <f>IFERROR(SUM(C114:C123), "")</f>
        <v>0</v>
      </c>
      <c r="H8" s="336">
        <f>SUM(C8:G8)</f>
        <v>0.34834978249241566</v>
      </c>
      <c r="I8" s="109"/>
      <c r="J8" s="119"/>
      <c r="K8" s="119"/>
      <c r="L8" s="119"/>
      <c r="M8" s="119"/>
      <c r="N8" s="119"/>
      <c r="O8" s="119"/>
      <c r="P8" s="119"/>
    </row>
    <row r="9" spans="1:49" s="112" customFormat="1" x14ac:dyDescent="0.25">
      <c r="B9" s="219" t="str">
        <f>'Set up'!B19</f>
        <v>Abbott M2000 RealTime</v>
      </c>
      <c r="C9" s="371">
        <f>IFERROR(($O$43/365)/'Set up'!$C19,"")</f>
        <v>0.10589295026540993</v>
      </c>
      <c r="D9" s="371">
        <f>IFERROR($D$71/'Set up'!$C19,"")</f>
        <v>1.1983249879991505E-2</v>
      </c>
      <c r="E9" s="371">
        <f>IFERROR($F$71/'Set up'!$C19,"")</f>
        <v>4.4674104720142131E-3</v>
      </c>
      <c r="F9" s="365">
        <f>IFERROR(SUM(D$94:D$101),"")</f>
        <v>0.22600617187500005</v>
      </c>
      <c r="G9" s="365">
        <f>IFERROR(SUM(D114:D123), "")</f>
        <v>0</v>
      </c>
      <c r="H9" s="336">
        <f t="shared" ref="H9:H11" si="0">SUM(C9:G9)</f>
        <v>0.34834978249241566</v>
      </c>
      <c r="I9" s="109"/>
      <c r="J9" s="119"/>
      <c r="K9" s="119"/>
      <c r="L9" s="119"/>
      <c r="M9" s="119"/>
      <c r="N9" s="119"/>
      <c r="O9" s="119"/>
      <c r="P9" s="119"/>
    </row>
    <row r="10" spans="1:49" s="112" customFormat="1" x14ac:dyDescent="0.25">
      <c r="B10" s="219" t="str">
        <f>'Set up'!B20</f>
        <v>Roche COBAS Ampliprep/TaqMan 48</v>
      </c>
      <c r="C10" s="350">
        <f>IFERROR(($O$43/365)/'Set up'!$C20,"")</f>
        <v>0.11723862350813243</v>
      </c>
      <c r="D10" s="350">
        <f>IFERROR($D$71/'Set up'!$C20,"")</f>
        <v>1.3267169509990594E-2</v>
      </c>
      <c r="E10" s="350">
        <f>IFERROR($F$71/'Set up'!$C20,"")</f>
        <v>4.9460615940157366E-3</v>
      </c>
      <c r="F10" s="365">
        <f>IFERROR(SUM(E$94:E$101),"")</f>
        <v>0.22600617187500005</v>
      </c>
      <c r="G10" s="365">
        <f>IFERROR(SUM(E114:E123), "")</f>
        <v>0</v>
      </c>
      <c r="H10" s="336">
        <f t="shared" si="0"/>
        <v>0.36145802648713876</v>
      </c>
      <c r="I10" s="111"/>
      <c r="J10" s="119"/>
      <c r="K10" s="119"/>
      <c r="L10" s="119"/>
      <c r="M10" s="119"/>
      <c r="N10" s="119"/>
      <c r="O10" s="119"/>
      <c r="P10" s="119"/>
    </row>
    <row r="11" spans="1:49" s="112" customFormat="1" x14ac:dyDescent="0.25">
      <c r="B11" s="219" t="str">
        <f>'Set up'!B21</f>
        <v>Roche COBAS Ampliprep/TaqMan 48</v>
      </c>
      <c r="C11" s="350">
        <f>IFERROR(($O$43/365)/'Set up'!$C21,"")</f>
        <v>0.11723862350813243</v>
      </c>
      <c r="D11" s="350">
        <f>IFERROR($D$71/'Set up'!$C21,"")</f>
        <v>1.3267169509990594E-2</v>
      </c>
      <c r="E11" s="350">
        <f>IFERROR($F$71/'Set up'!$C21,"")</f>
        <v>4.9460615940157366E-3</v>
      </c>
      <c r="F11" s="365">
        <f>IFERROR(SUM(F$94:F$101),"")</f>
        <v>0.22600617187500005</v>
      </c>
      <c r="G11" s="365">
        <f>IFERROR(SUM(F114:F123), "")</f>
        <v>0</v>
      </c>
      <c r="H11" s="336">
        <f t="shared" si="0"/>
        <v>0.36145802648713876</v>
      </c>
      <c r="I11" s="111"/>
      <c r="J11" s="119"/>
      <c r="K11" s="119"/>
      <c r="L11" s="119"/>
      <c r="M11" s="119"/>
      <c r="N11" s="119"/>
      <c r="O11" s="119"/>
      <c r="P11" s="119"/>
    </row>
    <row r="12" spans="1:49" s="112" customFormat="1" x14ac:dyDescent="0.25">
      <c r="B12" s="211"/>
      <c r="C12" s="211"/>
      <c r="D12" s="211"/>
      <c r="E12" s="220"/>
      <c r="F12" s="111"/>
      <c r="G12" s="111"/>
      <c r="H12" s="111"/>
      <c r="I12" s="111"/>
      <c r="J12" s="119"/>
      <c r="K12" s="119"/>
      <c r="L12" s="119"/>
      <c r="M12" s="119"/>
      <c r="N12" s="119"/>
      <c r="O12" s="119"/>
      <c r="P12" s="119"/>
    </row>
    <row r="13" spans="1:49" s="112" customFormat="1" ht="24" customHeight="1" x14ac:dyDescent="0.25">
      <c r="B13" s="445" t="s">
        <v>418</v>
      </c>
      <c r="C13" s="445"/>
      <c r="D13" s="445"/>
      <c r="E13" s="445"/>
      <c r="F13" s="445"/>
      <c r="G13" s="445"/>
      <c r="H13" s="445"/>
      <c r="I13" s="445"/>
      <c r="J13" s="445"/>
      <c r="K13" s="445"/>
      <c r="L13" s="445"/>
      <c r="M13" s="445"/>
      <c r="N13" s="445"/>
      <c r="O13" s="445"/>
      <c r="P13" s="207"/>
    </row>
    <row r="14" spans="1:49" s="112" customFormat="1" ht="12" customHeight="1" x14ac:dyDescent="0.25">
      <c r="B14" s="211"/>
      <c r="C14" s="211"/>
      <c r="D14" s="211"/>
      <c r="E14" s="220"/>
      <c r="F14" s="111"/>
      <c r="G14" s="111"/>
      <c r="H14" s="111"/>
      <c r="I14" s="111"/>
      <c r="J14" s="119"/>
      <c r="K14" s="119"/>
      <c r="L14" s="119"/>
      <c r="M14" s="119"/>
      <c r="N14" s="119"/>
      <c r="O14" s="119"/>
      <c r="P14" s="119"/>
    </row>
    <row r="15" spans="1:49" s="112" customFormat="1" x14ac:dyDescent="0.25">
      <c r="B15" s="221" t="s">
        <v>419</v>
      </c>
      <c r="C15" s="222"/>
      <c r="D15" s="223"/>
      <c r="E15" s="223"/>
      <c r="H15" s="465"/>
      <c r="I15" s="465"/>
      <c r="J15" s="465"/>
      <c r="K15" s="465"/>
      <c r="L15" s="465"/>
      <c r="M15" s="447"/>
      <c r="N15" s="447"/>
    </row>
    <row r="16" spans="1:49" s="228" customFormat="1" ht="45.6" customHeight="1" x14ac:dyDescent="0.25">
      <c r="A16" s="224"/>
      <c r="B16" s="225" t="s">
        <v>454</v>
      </c>
      <c r="C16" s="291" t="s">
        <v>423</v>
      </c>
      <c r="D16" s="245" t="s">
        <v>420</v>
      </c>
      <c r="E16" s="245" t="s">
        <v>421</v>
      </c>
      <c r="F16" s="245" t="s">
        <v>406</v>
      </c>
      <c r="G16" s="245" t="s">
        <v>407</v>
      </c>
      <c r="H16" s="245" t="s">
        <v>408</v>
      </c>
      <c r="I16" s="245" t="s">
        <v>409</v>
      </c>
      <c r="J16" s="245" t="s">
        <v>410</v>
      </c>
      <c r="K16" s="245" t="s">
        <v>411</v>
      </c>
      <c r="L16" s="245" t="s">
        <v>412</v>
      </c>
      <c r="M16" s="292" t="s">
        <v>346</v>
      </c>
      <c r="N16" s="293" t="s">
        <v>424</v>
      </c>
      <c r="O16" s="293" t="s">
        <v>428</v>
      </c>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row>
    <row r="17" spans="2:47" x14ac:dyDescent="0.25">
      <c r="B17" s="62" t="str">
        <f>'Set up'!B32</f>
        <v>Reference Laboratory</v>
      </c>
      <c r="C17" s="410">
        <f>IFERROR(VLOOKUP($B17,'Health Facilities'!$A$26:$M$34,3,FALSE),"")</f>
        <v>5246</v>
      </c>
      <c r="D17" s="411">
        <f>IFERROR(VLOOKUP($B17,'Health Facilities'!$A$26:$M$34,4,FALSE),"")</f>
        <v>0</v>
      </c>
      <c r="E17" s="411">
        <f>IFERROR(VLOOKUP($B17,'Health Facilities'!$A$26:$M$34,5,FALSE),"")</f>
        <v>0</v>
      </c>
      <c r="F17" s="411">
        <f>IFERROR(VLOOKUP($B17,'Health Facilities'!$A$26:$M$34,6,FALSE),"")</f>
        <v>0</v>
      </c>
      <c r="G17" s="411">
        <f>IFERROR(VLOOKUP($B17,'Health Facilities'!$A$26:$M$34,7,FALSE),"")</f>
        <v>0</v>
      </c>
      <c r="H17" s="411">
        <f>IFERROR(VLOOKUP($B17,'Health Facilities'!$A$26:$M$34,8,FALSE),"")</f>
        <v>0</v>
      </c>
      <c r="I17" s="411">
        <f>IFERROR(VLOOKUP($B17,'Health Facilities'!$A$26:$M$34,9,FALSE),"")</f>
        <v>4.4033549370949297E-2</v>
      </c>
      <c r="J17" s="411">
        <f>IFERROR(VLOOKUP($B17,'Health Facilities'!$A$26:$M$34,10,FALSE),"")</f>
        <v>5.2039649256576441E-2</v>
      </c>
      <c r="K17" s="411">
        <f>IFERROR(VLOOKUP($B17,'Health Facilities'!$A$26:$M$34,11,FALSE),"")</f>
        <v>1.2390392680137247E-2</v>
      </c>
      <c r="L17" s="411">
        <f>IFERROR(VLOOKUP($B17,'Health Facilities'!$A$26:$M$34,12,FALSE),"")</f>
        <v>6.2905070529927568E-3</v>
      </c>
      <c r="M17" s="373">
        <f>IFERROR((SUM(D17:L17)), "")</f>
        <v>0.11475409836065575</v>
      </c>
      <c r="N17" s="374">
        <f>IFERROR((C17*M17), "")</f>
        <v>602.00000000000011</v>
      </c>
      <c r="O17" s="374">
        <f>IFERROR((N17*'Health Facilities'!$C$38), "")</f>
        <v>1083.6000000000001</v>
      </c>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row>
    <row r="18" spans="2:47" x14ac:dyDescent="0.25">
      <c r="B18" s="62" t="str">
        <f>'Set up'!B33</f>
        <v>Regional/Provincial/County Hospital</v>
      </c>
      <c r="C18" s="410">
        <f>IFERROR(VLOOKUP($B18,'Health Facilities'!$A$26:$M$34,3,FALSE),"")</f>
        <v>52900</v>
      </c>
      <c r="D18" s="411">
        <f>IFERROR(VLOOKUP($B18,'Health Facilities'!$A$26:$M$34,4,FALSE),"")</f>
        <v>5.7466918714555769E-3</v>
      </c>
      <c r="E18" s="411">
        <f>IFERROR(VLOOKUP($B18,'Health Facilities'!$A$26:$M$34,5,FALSE),"")</f>
        <v>6.6162570888468814E-4</v>
      </c>
      <c r="F18" s="411">
        <f>IFERROR(VLOOKUP($B18,'Health Facilities'!$A$26:$M$34,6,FALSE),"")</f>
        <v>0</v>
      </c>
      <c r="G18" s="411">
        <f>IFERROR(VLOOKUP($B18,'Health Facilities'!$A$26:$M$34,7,FALSE),"")</f>
        <v>7.9867674858223061E-4</v>
      </c>
      <c r="H18" s="411">
        <f>IFERROR(VLOOKUP($B18,'Health Facilities'!$A$26:$M$34,8,FALSE),"")</f>
        <v>0</v>
      </c>
      <c r="I18" s="411">
        <f>IFERROR(VLOOKUP($B18,'Health Facilities'!$A$26:$M$34,9,FALSE),"")</f>
        <v>1.1909262759924385E-3</v>
      </c>
      <c r="J18" s="411">
        <f>IFERROR(VLOOKUP($B18,'Health Facilities'!$A$26:$M$34,10,FALSE),"")</f>
        <v>0</v>
      </c>
      <c r="K18" s="411">
        <f>IFERROR(VLOOKUP($B18,'Health Facilities'!$A$26:$M$34,11,FALSE),"")</f>
        <v>0</v>
      </c>
      <c r="L18" s="411">
        <f>IFERROR(VLOOKUP($B18,'Health Facilities'!$A$26:$M$34,12,FALSE),"")</f>
        <v>0</v>
      </c>
      <c r="M18" s="373">
        <f t="shared" ref="M18:M42" si="1">IFERROR((SUM(D18:L18)), "")</f>
        <v>8.3979206049149338E-3</v>
      </c>
      <c r="N18" s="374">
        <f t="shared" ref="N18:N42" si="2">IFERROR((C18*M18), "")</f>
        <v>444.25</v>
      </c>
      <c r="O18" s="374">
        <f>IFERROR((N18*'Health Facilities'!$C$38), "")</f>
        <v>799.65</v>
      </c>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row>
    <row r="19" spans="2:47" x14ac:dyDescent="0.25">
      <c r="B19" s="62" t="str">
        <f>'Set up'!B34</f>
        <v>Regional/Provincial/County Hospital</v>
      </c>
      <c r="C19" s="410">
        <f>IFERROR(VLOOKUP($B19,'Health Facilities'!$A$26:$M$34,3,FALSE),"")</f>
        <v>52900</v>
      </c>
      <c r="D19" s="411">
        <f>IFERROR(VLOOKUP($B19,'Health Facilities'!$A$26:$M$34,4,FALSE),"")</f>
        <v>5.7466918714555769E-3</v>
      </c>
      <c r="E19" s="411">
        <f>IFERROR(VLOOKUP($B19,'Health Facilities'!$A$26:$M$34,5,FALSE),"")</f>
        <v>6.6162570888468814E-4</v>
      </c>
      <c r="F19" s="411">
        <f>IFERROR(VLOOKUP($B19,'Health Facilities'!$A$26:$M$34,6,FALSE),"")</f>
        <v>0</v>
      </c>
      <c r="G19" s="411">
        <f>IFERROR(VLOOKUP($B19,'Health Facilities'!$A$26:$M$34,7,FALSE),"")</f>
        <v>7.9867674858223061E-4</v>
      </c>
      <c r="H19" s="411">
        <f>IFERROR(VLOOKUP($B19,'Health Facilities'!$A$26:$M$34,8,FALSE),"")</f>
        <v>0</v>
      </c>
      <c r="I19" s="411">
        <f>IFERROR(VLOOKUP($B19,'Health Facilities'!$A$26:$M$34,9,FALSE),"")</f>
        <v>1.1909262759924385E-3</v>
      </c>
      <c r="J19" s="411">
        <f>IFERROR(VLOOKUP($B19,'Health Facilities'!$A$26:$M$34,10,FALSE),"")</f>
        <v>0</v>
      </c>
      <c r="K19" s="411">
        <f>IFERROR(VLOOKUP($B19,'Health Facilities'!$A$26:$M$34,11,FALSE),"")</f>
        <v>0</v>
      </c>
      <c r="L19" s="411">
        <f>IFERROR(VLOOKUP($B19,'Health Facilities'!$A$26:$M$34,12,FALSE),"")</f>
        <v>0</v>
      </c>
      <c r="M19" s="373">
        <f t="shared" si="1"/>
        <v>8.3979206049149338E-3</v>
      </c>
      <c r="N19" s="374">
        <f t="shared" si="2"/>
        <v>444.25</v>
      </c>
      <c r="O19" s="374">
        <f>IFERROR((N19*'Health Facilities'!$C$38), "")</f>
        <v>799.65</v>
      </c>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row>
    <row r="20" spans="2:47" x14ac:dyDescent="0.25">
      <c r="B20" s="62" t="str">
        <f>'Set up'!B35</f>
        <v>Sub-district Hospital</v>
      </c>
      <c r="C20" s="410">
        <f>IFERROR(VLOOKUP($B20,'Health Facilities'!$A$26:$M$34,3,FALSE),"")</f>
        <v>52900</v>
      </c>
      <c r="D20" s="411">
        <f>IFERROR(VLOOKUP($B20,'Health Facilities'!$A$26:$M$34,4,FALSE),"")</f>
        <v>1.9848771266540643E-3</v>
      </c>
      <c r="E20" s="411">
        <f>IFERROR(VLOOKUP($B20,'Health Facilities'!$A$26:$M$34,5,FALSE),"")</f>
        <v>0</v>
      </c>
      <c r="F20" s="411">
        <f>IFERROR(VLOOKUP($B20,'Health Facilities'!$A$26:$M$34,6,FALSE),"")</f>
        <v>0</v>
      </c>
      <c r="G20" s="411">
        <f>IFERROR(VLOOKUP($B20,'Health Facilities'!$A$26:$M$34,7,FALSE),"")</f>
        <v>9.4517958412098301E-4</v>
      </c>
      <c r="H20" s="411">
        <f>IFERROR(VLOOKUP($B20,'Health Facilities'!$A$26:$M$34,8,FALSE),"")</f>
        <v>0</v>
      </c>
      <c r="I20" s="411">
        <f>IFERROR(VLOOKUP($B20,'Health Facilities'!$A$26:$M$34,9,FALSE),"")</f>
        <v>6.6162570888468814E-4</v>
      </c>
      <c r="J20" s="411">
        <f>IFERROR(VLOOKUP($B20,'Health Facilities'!$A$26:$M$34,10,FALSE),"")</f>
        <v>0</v>
      </c>
      <c r="K20" s="411">
        <f>IFERROR(VLOOKUP($B20,'Health Facilities'!$A$26:$M$34,11,FALSE),"")</f>
        <v>0</v>
      </c>
      <c r="L20" s="411">
        <f>IFERROR(VLOOKUP($B20,'Health Facilities'!$A$26:$M$34,12,FALSE),"")</f>
        <v>0</v>
      </c>
      <c r="M20" s="373">
        <f t="shared" si="1"/>
        <v>3.5916824196597355E-3</v>
      </c>
      <c r="N20" s="374">
        <f t="shared" si="2"/>
        <v>190</v>
      </c>
      <c r="O20" s="374">
        <f>IFERROR((N20*'Health Facilities'!$C$38), "")</f>
        <v>342</v>
      </c>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row>
    <row r="21" spans="2:47" x14ac:dyDescent="0.25">
      <c r="B21" s="62" t="str">
        <f>'Set up'!B36</f>
        <v>District Health Center</v>
      </c>
      <c r="C21" s="410">
        <f>IFERROR(VLOOKUP($B21,'Health Facilities'!$A$26:$M$34,3,FALSE),"")</f>
        <v>13582.2</v>
      </c>
      <c r="D21" s="411">
        <f>IFERROR(VLOOKUP($B21,'Health Facilities'!$A$26:$M$34,4,FALSE),"")</f>
        <v>3.546964902057268E-3</v>
      </c>
      <c r="E21" s="411">
        <f>IFERROR(VLOOKUP($B21,'Health Facilities'!$A$26:$M$34,5,FALSE),"")</f>
        <v>4.8216007714561236E-4</v>
      </c>
      <c r="F21" s="411">
        <f>IFERROR(VLOOKUP($B21,'Health Facilities'!$A$26:$M$34,6,FALSE),"")</f>
        <v>0</v>
      </c>
      <c r="G21" s="411">
        <f>IFERROR(VLOOKUP($B21,'Health Facilities'!$A$26:$M$34,7,FALSE),"")</f>
        <v>1.5906294525342343E-3</v>
      </c>
      <c r="H21" s="411">
        <f>IFERROR(VLOOKUP($B21,'Health Facilities'!$A$26:$M$34,8,FALSE),"")</f>
        <v>8.1455335324463751E-4</v>
      </c>
      <c r="I21" s="411">
        <f>IFERROR(VLOOKUP($B21,'Health Facilities'!$A$26:$M$34,9,FALSE),"")</f>
        <v>0</v>
      </c>
      <c r="J21" s="411">
        <f>IFERROR(VLOOKUP($B21,'Health Facilities'!$A$26:$M$34,10,FALSE),"")</f>
        <v>0</v>
      </c>
      <c r="K21" s="411" t="str">
        <f>IFERROR(VLOOKUP($B21,'Health Facilities'!$A$26:$M$34,11,FALSE),"")</f>
        <v/>
      </c>
      <c r="L21" s="411" t="str">
        <f>IFERROR(VLOOKUP($B21,'Health Facilities'!$A$26:$M$34,12,FALSE),"")</f>
        <v/>
      </c>
      <c r="M21" s="373">
        <f t="shared" si="1"/>
        <v>6.4343077849817526E-3</v>
      </c>
      <c r="N21" s="374">
        <f t="shared" si="2"/>
        <v>87.392055197179161</v>
      </c>
      <c r="O21" s="374">
        <f>IFERROR((N21*'Health Facilities'!$C$38), "")</f>
        <v>157.3056993549225</v>
      </c>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row>
    <row r="22" spans="2:47" x14ac:dyDescent="0.25">
      <c r="B22" s="62" t="str">
        <f>'Set up'!B37</f>
        <v>District Health Center</v>
      </c>
      <c r="C22" s="410">
        <f>IFERROR(VLOOKUP($B22,'Health Facilities'!$A$26:$M$34,3,FALSE),"")</f>
        <v>13582.2</v>
      </c>
      <c r="D22" s="411">
        <f>IFERROR(VLOOKUP($B22,'Health Facilities'!$A$26:$M$34,4,FALSE),"")</f>
        <v>3.546964902057268E-3</v>
      </c>
      <c r="E22" s="411">
        <f>IFERROR(VLOOKUP($B22,'Health Facilities'!$A$26:$M$34,5,FALSE),"")</f>
        <v>4.8216007714561236E-4</v>
      </c>
      <c r="F22" s="411">
        <f>IFERROR(VLOOKUP($B22,'Health Facilities'!$A$26:$M$34,6,FALSE),"")</f>
        <v>0</v>
      </c>
      <c r="G22" s="411">
        <f>IFERROR(VLOOKUP($B22,'Health Facilities'!$A$26:$M$34,7,FALSE),"")</f>
        <v>1.5906294525342343E-3</v>
      </c>
      <c r="H22" s="411">
        <f>IFERROR(VLOOKUP($B22,'Health Facilities'!$A$26:$M$34,8,FALSE),"")</f>
        <v>8.1455335324463751E-4</v>
      </c>
      <c r="I22" s="411">
        <f>IFERROR(VLOOKUP($B22,'Health Facilities'!$A$26:$M$34,9,FALSE),"")</f>
        <v>0</v>
      </c>
      <c r="J22" s="411">
        <f>IFERROR(VLOOKUP($B22,'Health Facilities'!$A$26:$M$34,10,FALSE),"")</f>
        <v>0</v>
      </c>
      <c r="K22" s="411" t="str">
        <f>IFERROR(VLOOKUP($B22,'Health Facilities'!$A$26:$M$34,11,FALSE),"")</f>
        <v/>
      </c>
      <c r="L22" s="411" t="str">
        <f>IFERROR(VLOOKUP($B22,'Health Facilities'!$A$26:$M$34,12,FALSE),"")</f>
        <v/>
      </c>
      <c r="M22" s="373">
        <f t="shared" si="1"/>
        <v>6.4343077849817526E-3</v>
      </c>
      <c r="N22" s="374">
        <f t="shared" si="2"/>
        <v>87.392055197179161</v>
      </c>
      <c r="O22" s="374">
        <f>IFERROR((N22*'Health Facilities'!$C$38), "")</f>
        <v>157.3056993549225</v>
      </c>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row>
    <row r="23" spans="2:47" x14ac:dyDescent="0.25">
      <c r="B23" s="62" t="str">
        <f>'Set up'!B38</f>
        <v>District Health Center</v>
      </c>
      <c r="C23" s="410">
        <f>IFERROR(VLOOKUP($B23,'Health Facilities'!$A$26:$M$34,3,FALSE),"")</f>
        <v>13582.2</v>
      </c>
      <c r="D23" s="411">
        <f>IFERROR(VLOOKUP($B23,'Health Facilities'!$A$26:$M$34,4,FALSE),"")</f>
        <v>3.546964902057268E-3</v>
      </c>
      <c r="E23" s="411">
        <f>IFERROR(VLOOKUP($B23,'Health Facilities'!$A$26:$M$34,5,FALSE),"")</f>
        <v>4.8216007714561236E-4</v>
      </c>
      <c r="F23" s="411">
        <f>IFERROR(VLOOKUP($B23,'Health Facilities'!$A$26:$M$34,6,FALSE),"")</f>
        <v>0</v>
      </c>
      <c r="G23" s="411">
        <f>IFERROR(VLOOKUP($B23,'Health Facilities'!$A$26:$M$34,7,FALSE),"")</f>
        <v>1.5906294525342343E-3</v>
      </c>
      <c r="H23" s="411">
        <f>IFERROR(VLOOKUP($B23,'Health Facilities'!$A$26:$M$34,8,FALSE),"")</f>
        <v>8.1455335324463751E-4</v>
      </c>
      <c r="I23" s="411">
        <f>IFERROR(VLOOKUP($B23,'Health Facilities'!$A$26:$M$34,9,FALSE),"")</f>
        <v>0</v>
      </c>
      <c r="J23" s="411">
        <f>IFERROR(VLOOKUP($B23,'Health Facilities'!$A$26:$M$34,10,FALSE),"")</f>
        <v>0</v>
      </c>
      <c r="K23" s="411" t="str">
        <f>IFERROR(VLOOKUP($B23,'Health Facilities'!$A$26:$M$34,11,FALSE),"")</f>
        <v/>
      </c>
      <c r="L23" s="411" t="str">
        <f>IFERROR(VLOOKUP($B23,'Health Facilities'!$A$26:$M$34,12,FALSE),"")</f>
        <v/>
      </c>
      <c r="M23" s="373">
        <f t="shared" si="1"/>
        <v>6.4343077849817526E-3</v>
      </c>
      <c r="N23" s="374">
        <f t="shared" si="2"/>
        <v>87.392055197179161</v>
      </c>
      <c r="O23" s="374">
        <f>IFERROR((N23*'Health Facilities'!$C$38), "")</f>
        <v>157.3056993549225</v>
      </c>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row>
    <row r="24" spans="2:47" x14ac:dyDescent="0.25">
      <c r="B24" s="62" t="str">
        <f>'Set up'!B39</f>
        <v>District Health Center</v>
      </c>
      <c r="C24" s="410">
        <f>IFERROR(VLOOKUP($B24,'Health Facilities'!$A$26:$M$34,3,FALSE),"")</f>
        <v>13582.2</v>
      </c>
      <c r="D24" s="411">
        <f>IFERROR(VLOOKUP($B24,'Health Facilities'!$A$26:$M$34,4,FALSE),"")</f>
        <v>3.546964902057268E-3</v>
      </c>
      <c r="E24" s="411">
        <f>IFERROR(VLOOKUP($B24,'Health Facilities'!$A$26:$M$34,5,FALSE),"")</f>
        <v>4.8216007714561236E-4</v>
      </c>
      <c r="F24" s="411">
        <f>IFERROR(VLOOKUP($B24,'Health Facilities'!$A$26:$M$34,6,FALSE),"")</f>
        <v>0</v>
      </c>
      <c r="G24" s="411">
        <f>IFERROR(VLOOKUP($B24,'Health Facilities'!$A$26:$M$34,7,FALSE),"")</f>
        <v>1.5906294525342343E-3</v>
      </c>
      <c r="H24" s="411">
        <f>IFERROR(VLOOKUP($B24,'Health Facilities'!$A$26:$M$34,8,FALSE),"")</f>
        <v>8.1455335324463751E-4</v>
      </c>
      <c r="I24" s="411">
        <f>IFERROR(VLOOKUP($B24,'Health Facilities'!$A$26:$M$34,9,FALSE),"")</f>
        <v>0</v>
      </c>
      <c r="J24" s="411">
        <f>IFERROR(VLOOKUP($B24,'Health Facilities'!$A$26:$M$34,10,FALSE),"")</f>
        <v>0</v>
      </c>
      <c r="K24" s="411" t="str">
        <f>IFERROR(VLOOKUP($B24,'Health Facilities'!$A$26:$M$34,11,FALSE),"")</f>
        <v/>
      </c>
      <c r="L24" s="411" t="str">
        <f>IFERROR(VLOOKUP($B24,'Health Facilities'!$A$26:$M$34,12,FALSE),"")</f>
        <v/>
      </c>
      <c r="M24" s="373">
        <f t="shared" si="1"/>
        <v>6.4343077849817526E-3</v>
      </c>
      <c r="N24" s="374">
        <f t="shared" si="2"/>
        <v>87.392055197179161</v>
      </c>
      <c r="O24" s="374">
        <f>IFERROR((N24*'Health Facilities'!$C$38), "")</f>
        <v>157.3056993549225</v>
      </c>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row>
    <row r="25" spans="2:47" x14ac:dyDescent="0.25">
      <c r="B25" s="62" t="str">
        <f>'Set up'!B40</f>
        <v>District Health Center</v>
      </c>
      <c r="C25" s="410">
        <f>IFERROR(VLOOKUP($B25,'Health Facilities'!$A$26:$M$34,3,FALSE),"")</f>
        <v>13582.2</v>
      </c>
      <c r="D25" s="411">
        <f>IFERROR(VLOOKUP($B25,'Health Facilities'!$A$26:$M$34,4,FALSE),"")</f>
        <v>3.546964902057268E-3</v>
      </c>
      <c r="E25" s="411">
        <f>IFERROR(VLOOKUP($B25,'Health Facilities'!$A$26:$M$34,5,FALSE),"")</f>
        <v>4.8216007714561236E-4</v>
      </c>
      <c r="F25" s="411">
        <f>IFERROR(VLOOKUP($B25,'Health Facilities'!$A$26:$M$34,6,FALSE),"")</f>
        <v>0</v>
      </c>
      <c r="G25" s="411">
        <f>IFERROR(VLOOKUP($B25,'Health Facilities'!$A$26:$M$34,7,FALSE),"")</f>
        <v>1.5906294525342343E-3</v>
      </c>
      <c r="H25" s="411">
        <f>IFERROR(VLOOKUP($B25,'Health Facilities'!$A$26:$M$34,8,FALSE),"")</f>
        <v>8.1455335324463751E-4</v>
      </c>
      <c r="I25" s="411">
        <f>IFERROR(VLOOKUP($B25,'Health Facilities'!$A$26:$M$34,9,FALSE),"")</f>
        <v>0</v>
      </c>
      <c r="J25" s="411">
        <f>IFERROR(VLOOKUP($B25,'Health Facilities'!$A$26:$M$34,10,FALSE),"")</f>
        <v>0</v>
      </c>
      <c r="K25" s="411" t="str">
        <f>IFERROR(VLOOKUP($B25,'Health Facilities'!$A$26:$M$34,11,FALSE),"")</f>
        <v/>
      </c>
      <c r="L25" s="411" t="str">
        <f>IFERROR(VLOOKUP($B25,'Health Facilities'!$A$26:$M$34,12,FALSE),"")</f>
        <v/>
      </c>
      <c r="M25" s="373">
        <f t="shared" si="1"/>
        <v>6.4343077849817526E-3</v>
      </c>
      <c r="N25" s="374">
        <f t="shared" si="2"/>
        <v>87.392055197179161</v>
      </c>
      <c r="O25" s="374">
        <f>IFERROR((N25*'Health Facilities'!$C$38), "")</f>
        <v>157.3056993549225</v>
      </c>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row>
    <row r="26" spans="2:47" x14ac:dyDescent="0.25">
      <c r="B26" s="62" t="s">
        <v>444</v>
      </c>
      <c r="C26" s="410">
        <f>IFERROR(VLOOKUP($B26,'Health Facilities'!$A$26:$M$34,3,FALSE),"")</f>
        <v>13582.2</v>
      </c>
      <c r="D26" s="411">
        <f>IFERROR(VLOOKUP($B26,'Health Facilities'!$A$26:$M$34,4,FALSE),"")</f>
        <v>3.546964902057268E-3</v>
      </c>
      <c r="E26" s="411">
        <f>IFERROR(VLOOKUP($B26,'Health Facilities'!$A$26:$M$34,5,FALSE),"")</f>
        <v>4.8216007714561236E-4</v>
      </c>
      <c r="F26" s="411">
        <f>IFERROR(VLOOKUP($B26,'Health Facilities'!$A$26:$M$34,6,FALSE),"")</f>
        <v>0</v>
      </c>
      <c r="G26" s="411">
        <f>IFERROR(VLOOKUP($B26,'Health Facilities'!$A$26:$M$34,7,FALSE),"")</f>
        <v>1.5906294525342343E-3</v>
      </c>
      <c r="H26" s="411">
        <f>IFERROR(VLOOKUP($B26,'Health Facilities'!$A$26:$M$34,8,FALSE),"")</f>
        <v>8.1455335324463751E-4</v>
      </c>
      <c r="I26" s="411">
        <f>IFERROR(VLOOKUP($B26,'Health Facilities'!$A$26:$M$34,9,FALSE),"")</f>
        <v>0</v>
      </c>
      <c r="J26" s="411">
        <f>IFERROR(VLOOKUP($B26,'Health Facilities'!$A$26:$M$34,10,FALSE),"")</f>
        <v>0</v>
      </c>
      <c r="K26" s="411" t="str">
        <f>IFERROR(VLOOKUP($B26,'Health Facilities'!$A$26:$M$34,11,FALSE),"")</f>
        <v/>
      </c>
      <c r="L26" s="411" t="str">
        <f>IFERROR(VLOOKUP($B26,'Health Facilities'!$A$26:$M$34,12,FALSE),"")</f>
        <v/>
      </c>
      <c r="M26" s="373">
        <f t="shared" si="1"/>
        <v>6.4343077849817526E-3</v>
      </c>
      <c r="N26" s="374">
        <f t="shared" si="2"/>
        <v>87.392055197179161</v>
      </c>
      <c r="O26" s="374">
        <f>IFERROR((N26*'Health Facilities'!$C$38), "")</f>
        <v>157.3056993549225</v>
      </c>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row>
    <row r="27" spans="2:47" x14ac:dyDescent="0.25">
      <c r="B27" s="62" t="s">
        <v>447</v>
      </c>
      <c r="C27" s="410">
        <f>IFERROR(VLOOKUP($B27,'Health Facilities'!$A$26:$M$34,3,FALSE),"")</f>
        <v>6308</v>
      </c>
      <c r="D27" s="411">
        <f>IFERROR(VLOOKUP($B27,'Health Facilities'!$A$26:$M$34,4,FALSE),"")</f>
        <v>0</v>
      </c>
      <c r="E27" s="411">
        <f>IFERROR(VLOOKUP($B27,'Health Facilities'!$A$26:$M$34,5,FALSE),"")</f>
        <v>1.8736532228087425E-3</v>
      </c>
      <c r="F27" s="411">
        <f>IFERROR(VLOOKUP($B27,'Health Facilities'!$A$26:$M$34,6,FALSE),"")</f>
        <v>2.299089167015813E-2</v>
      </c>
      <c r="G27" s="411">
        <f>IFERROR(VLOOKUP($B27,'Health Facilities'!$A$26:$M$34,7,FALSE),"")</f>
        <v>9.1911764705882352E-4</v>
      </c>
      <c r="H27" s="411">
        <f>IFERROR(VLOOKUP($B27,'Health Facilities'!$A$26:$M$34,8,FALSE),"")</f>
        <v>0</v>
      </c>
      <c r="I27" s="411">
        <f>IFERROR(VLOOKUP($B27,'Health Facilities'!$A$26:$M$34,9,FALSE),"")</f>
        <v>0</v>
      </c>
      <c r="J27" s="411">
        <f>IFERROR(VLOOKUP($B27,'Health Facilities'!$A$26:$M$34,10,FALSE),"")</f>
        <v>0</v>
      </c>
      <c r="K27" s="411" t="str">
        <f>IFERROR(VLOOKUP($B27,'Health Facilities'!$A$26:$M$34,11,FALSE),"")</f>
        <v/>
      </c>
      <c r="L27" s="411" t="str">
        <f>IFERROR(VLOOKUP($B27,'Health Facilities'!$A$26:$M$34,12,FALSE),"")</f>
        <v/>
      </c>
      <c r="M27" s="373">
        <f t="shared" si="1"/>
        <v>2.5783662540025697E-2</v>
      </c>
      <c r="N27" s="374">
        <f t="shared" si="2"/>
        <v>162.64334330248209</v>
      </c>
      <c r="O27" s="374">
        <f>IFERROR((N27*'Health Facilities'!$C$38), "")</f>
        <v>292.75801794446778</v>
      </c>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row>
    <row r="28" spans="2:47" x14ac:dyDescent="0.25">
      <c r="B28" s="62" t="s">
        <v>447</v>
      </c>
      <c r="C28" s="410">
        <f>IFERROR(VLOOKUP($B28,'Health Facilities'!$A$26:$M$34,3,FALSE),"")</f>
        <v>6308</v>
      </c>
      <c r="D28" s="411">
        <f>IFERROR(VLOOKUP($B28,'Health Facilities'!$A$26:$M$34,4,FALSE),"")</f>
        <v>0</v>
      </c>
      <c r="E28" s="411">
        <f>IFERROR(VLOOKUP($B28,'Health Facilities'!$A$26:$M$34,5,FALSE),"")</f>
        <v>1.8736532228087425E-3</v>
      </c>
      <c r="F28" s="411">
        <f>IFERROR(VLOOKUP($B28,'Health Facilities'!$A$26:$M$34,6,FALSE),"")</f>
        <v>2.299089167015813E-2</v>
      </c>
      <c r="G28" s="411">
        <f>IFERROR(VLOOKUP($B28,'Health Facilities'!$A$26:$M$34,7,FALSE),"")</f>
        <v>9.1911764705882352E-4</v>
      </c>
      <c r="H28" s="411">
        <f>IFERROR(VLOOKUP($B28,'Health Facilities'!$A$26:$M$34,8,FALSE),"")</f>
        <v>0</v>
      </c>
      <c r="I28" s="411">
        <f>IFERROR(VLOOKUP($B28,'Health Facilities'!$A$26:$M$34,9,FALSE),"")</f>
        <v>0</v>
      </c>
      <c r="J28" s="411">
        <f>IFERROR(VLOOKUP($B28,'Health Facilities'!$A$26:$M$34,10,FALSE),"")</f>
        <v>0</v>
      </c>
      <c r="K28" s="411" t="str">
        <f>IFERROR(VLOOKUP($B28,'Health Facilities'!$A$26:$M$34,11,FALSE),"")</f>
        <v/>
      </c>
      <c r="L28" s="411" t="str">
        <f>IFERROR(VLOOKUP($B28,'Health Facilities'!$A$26:$M$34,12,FALSE),"")</f>
        <v/>
      </c>
      <c r="M28" s="373">
        <f t="shared" si="1"/>
        <v>2.5783662540025697E-2</v>
      </c>
      <c r="N28" s="374">
        <f t="shared" si="2"/>
        <v>162.64334330248209</v>
      </c>
      <c r="O28" s="374">
        <f>IFERROR((N28*'Health Facilities'!$C$38), "")</f>
        <v>292.75801794446778</v>
      </c>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row>
    <row r="29" spans="2:47" x14ac:dyDescent="0.25">
      <c r="B29" s="62" t="s">
        <v>447</v>
      </c>
      <c r="C29" s="410">
        <f>IFERROR(VLOOKUP($B29,'Health Facilities'!$A$26:$M$34,3,FALSE),"")</f>
        <v>6308</v>
      </c>
      <c r="D29" s="411">
        <f>IFERROR(VLOOKUP($B29,'Health Facilities'!$A$26:$M$34,4,FALSE),"")</f>
        <v>0</v>
      </c>
      <c r="E29" s="411">
        <f>IFERROR(VLOOKUP($B29,'Health Facilities'!$A$26:$M$34,5,FALSE),"")</f>
        <v>1.8736532228087425E-3</v>
      </c>
      <c r="F29" s="411">
        <f>IFERROR(VLOOKUP($B29,'Health Facilities'!$A$26:$M$34,6,FALSE),"")</f>
        <v>2.299089167015813E-2</v>
      </c>
      <c r="G29" s="411">
        <f>IFERROR(VLOOKUP($B29,'Health Facilities'!$A$26:$M$34,7,FALSE),"")</f>
        <v>9.1911764705882352E-4</v>
      </c>
      <c r="H29" s="411">
        <f>IFERROR(VLOOKUP($B29,'Health Facilities'!$A$26:$M$34,8,FALSE),"")</f>
        <v>0</v>
      </c>
      <c r="I29" s="411">
        <f>IFERROR(VLOOKUP($B29,'Health Facilities'!$A$26:$M$34,9,FALSE),"")</f>
        <v>0</v>
      </c>
      <c r="J29" s="411">
        <f>IFERROR(VLOOKUP($B29,'Health Facilities'!$A$26:$M$34,10,FALSE),"")</f>
        <v>0</v>
      </c>
      <c r="K29" s="411" t="str">
        <f>IFERROR(VLOOKUP($B29,'Health Facilities'!$A$26:$M$34,11,FALSE),"")</f>
        <v/>
      </c>
      <c r="L29" s="411" t="str">
        <f>IFERROR(VLOOKUP($B29,'Health Facilities'!$A$26:$M$34,12,FALSE),"")</f>
        <v/>
      </c>
      <c r="M29" s="373">
        <f t="shared" si="1"/>
        <v>2.5783662540025697E-2</v>
      </c>
      <c r="N29" s="374">
        <f t="shared" si="2"/>
        <v>162.64334330248209</v>
      </c>
      <c r="O29" s="374">
        <f>IFERROR((N29*'Health Facilities'!$C$38), "")</f>
        <v>292.75801794446778</v>
      </c>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row>
    <row r="30" spans="2:47" x14ac:dyDescent="0.25">
      <c r="B30" s="62" t="s">
        <v>447</v>
      </c>
      <c r="C30" s="410">
        <f>IFERROR(VLOOKUP($B30,'Health Facilities'!$A$26:$M$34,3,FALSE),"")</f>
        <v>6308</v>
      </c>
      <c r="D30" s="411">
        <f>IFERROR(VLOOKUP($B30,'Health Facilities'!$A$26:$M$34,4,FALSE),"")</f>
        <v>0</v>
      </c>
      <c r="E30" s="411">
        <f>IFERROR(VLOOKUP($B30,'Health Facilities'!$A$26:$M$34,5,FALSE),"")</f>
        <v>1.8736532228087425E-3</v>
      </c>
      <c r="F30" s="411">
        <f>IFERROR(VLOOKUP($B30,'Health Facilities'!$A$26:$M$34,6,FALSE),"")</f>
        <v>2.299089167015813E-2</v>
      </c>
      <c r="G30" s="411">
        <f>IFERROR(VLOOKUP($B30,'Health Facilities'!$A$26:$M$34,7,FALSE),"")</f>
        <v>9.1911764705882352E-4</v>
      </c>
      <c r="H30" s="411">
        <f>IFERROR(VLOOKUP($B30,'Health Facilities'!$A$26:$M$34,8,FALSE),"")</f>
        <v>0</v>
      </c>
      <c r="I30" s="411">
        <f>IFERROR(VLOOKUP($B30,'Health Facilities'!$A$26:$M$34,9,FALSE),"")</f>
        <v>0</v>
      </c>
      <c r="J30" s="411">
        <f>IFERROR(VLOOKUP($B30,'Health Facilities'!$A$26:$M$34,10,FALSE),"")</f>
        <v>0</v>
      </c>
      <c r="K30" s="411" t="str">
        <f>IFERROR(VLOOKUP($B30,'Health Facilities'!$A$26:$M$34,11,FALSE),"")</f>
        <v/>
      </c>
      <c r="L30" s="411" t="str">
        <f>IFERROR(VLOOKUP($B30,'Health Facilities'!$A$26:$M$34,12,FALSE),"")</f>
        <v/>
      </c>
      <c r="M30" s="373">
        <f t="shared" si="1"/>
        <v>2.5783662540025697E-2</v>
      </c>
      <c r="N30" s="374">
        <f t="shared" si="2"/>
        <v>162.64334330248209</v>
      </c>
      <c r="O30" s="374">
        <f>IFERROR((N30*'Health Facilities'!$C$38), "")</f>
        <v>292.75801794446778</v>
      </c>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row>
    <row r="31" spans="2:47" x14ac:dyDescent="0.25">
      <c r="B31" s="62" t="s">
        <v>447</v>
      </c>
      <c r="C31" s="410">
        <f>IFERROR(VLOOKUP($B31,'Health Facilities'!$A$26:$M$34,3,FALSE),"")</f>
        <v>6308</v>
      </c>
      <c r="D31" s="411">
        <f>IFERROR(VLOOKUP($B31,'Health Facilities'!$A$26:$M$34,4,FALSE),"")</f>
        <v>0</v>
      </c>
      <c r="E31" s="411">
        <f>IFERROR(VLOOKUP($B31,'Health Facilities'!$A$26:$M$34,5,FALSE),"")</f>
        <v>1.8736532228087425E-3</v>
      </c>
      <c r="F31" s="411">
        <f>IFERROR(VLOOKUP($B31,'Health Facilities'!$A$26:$M$34,6,FALSE),"")</f>
        <v>2.299089167015813E-2</v>
      </c>
      <c r="G31" s="411">
        <f>IFERROR(VLOOKUP($B31,'Health Facilities'!$A$26:$M$34,7,FALSE),"")</f>
        <v>9.1911764705882352E-4</v>
      </c>
      <c r="H31" s="411">
        <f>IFERROR(VLOOKUP($B31,'Health Facilities'!$A$26:$M$34,8,FALSE),"")</f>
        <v>0</v>
      </c>
      <c r="I31" s="411">
        <f>IFERROR(VLOOKUP($B31,'Health Facilities'!$A$26:$M$34,9,FALSE),"")</f>
        <v>0</v>
      </c>
      <c r="J31" s="411">
        <f>IFERROR(VLOOKUP($B31,'Health Facilities'!$A$26:$M$34,10,FALSE),"")</f>
        <v>0</v>
      </c>
      <c r="K31" s="411" t="str">
        <f>IFERROR(VLOOKUP($B31,'Health Facilities'!$A$26:$M$34,11,FALSE),"")</f>
        <v/>
      </c>
      <c r="L31" s="411" t="str">
        <f>IFERROR(VLOOKUP($B31,'Health Facilities'!$A$26:$M$34,12,FALSE),"")</f>
        <v/>
      </c>
      <c r="M31" s="373">
        <f t="shared" si="1"/>
        <v>2.5783662540025697E-2</v>
      </c>
      <c r="N31" s="374">
        <f t="shared" si="2"/>
        <v>162.64334330248209</v>
      </c>
      <c r="O31" s="374">
        <f>IFERROR((N31*'Health Facilities'!$C$38), "")</f>
        <v>292.75801794446778</v>
      </c>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row>
    <row r="32" spans="2:47" x14ac:dyDescent="0.25">
      <c r="B32" s="62" t="s">
        <v>447</v>
      </c>
      <c r="C32" s="410">
        <f>IFERROR(VLOOKUP($B32,'Health Facilities'!$A$26:$M$34,3,FALSE),"")</f>
        <v>6308</v>
      </c>
      <c r="D32" s="411">
        <f>IFERROR(VLOOKUP($B32,'Health Facilities'!$A$26:$M$34,4,FALSE),"")</f>
        <v>0</v>
      </c>
      <c r="E32" s="411">
        <f>IFERROR(VLOOKUP($B32,'Health Facilities'!$A$26:$M$34,5,FALSE),"")</f>
        <v>1.8736532228087425E-3</v>
      </c>
      <c r="F32" s="411">
        <f>IFERROR(VLOOKUP($B32,'Health Facilities'!$A$26:$M$34,6,FALSE),"")</f>
        <v>2.299089167015813E-2</v>
      </c>
      <c r="G32" s="411">
        <f>IFERROR(VLOOKUP($B32,'Health Facilities'!$A$26:$M$34,7,FALSE),"")</f>
        <v>9.1911764705882352E-4</v>
      </c>
      <c r="H32" s="411">
        <f>IFERROR(VLOOKUP($B32,'Health Facilities'!$A$26:$M$34,8,FALSE),"")</f>
        <v>0</v>
      </c>
      <c r="I32" s="411">
        <f>IFERROR(VLOOKUP($B32,'Health Facilities'!$A$26:$M$34,9,FALSE),"")</f>
        <v>0</v>
      </c>
      <c r="J32" s="411">
        <f>IFERROR(VLOOKUP($B32,'Health Facilities'!$A$26:$M$34,10,FALSE),"")</f>
        <v>0</v>
      </c>
      <c r="K32" s="411" t="str">
        <f>IFERROR(VLOOKUP($B32,'Health Facilities'!$A$26:$M$34,11,FALSE),"")</f>
        <v/>
      </c>
      <c r="L32" s="411" t="str">
        <f>IFERROR(VLOOKUP($B32,'Health Facilities'!$A$26:$M$34,12,FALSE),"")</f>
        <v/>
      </c>
      <c r="M32" s="373">
        <f t="shared" si="1"/>
        <v>2.5783662540025697E-2</v>
      </c>
      <c r="N32" s="374">
        <f t="shared" si="2"/>
        <v>162.64334330248209</v>
      </c>
      <c r="O32" s="374">
        <f>IFERROR((N32*'Health Facilities'!$C$38), "")</f>
        <v>292.75801794446778</v>
      </c>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row>
    <row r="33" spans="2:47" x14ac:dyDescent="0.25">
      <c r="B33" s="62" t="s">
        <v>447</v>
      </c>
      <c r="C33" s="410">
        <f>IFERROR(VLOOKUP($B33,'Health Facilities'!$A$26:$M$34,3,FALSE),"")</f>
        <v>6308</v>
      </c>
      <c r="D33" s="411">
        <f>IFERROR(VLOOKUP($B33,'Health Facilities'!$A$26:$M$34,4,FALSE),"")</f>
        <v>0</v>
      </c>
      <c r="E33" s="411">
        <f>IFERROR(VLOOKUP($B33,'Health Facilities'!$A$26:$M$34,5,FALSE),"")</f>
        <v>1.8736532228087425E-3</v>
      </c>
      <c r="F33" s="411">
        <f>IFERROR(VLOOKUP($B33,'Health Facilities'!$A$26:$M$34,6,FALSE),"")</f>
        <v>2.299089167015813E-2</v>
      </c>
      <c r="G33" s="411">
        <f>IFERROR(VLOOKUP($B33,'Health Facilities'!$A$26:$M$34,7,FALSE),"")</f>
        <v>9.1911764705882352E-4</v>
      </c>
      <c r="H33" s="411">
        <f>IFERROR(VLOOKUP($B33,'Health Facilities'!$A$26:$M$34,8,FALSE),"")</f>
        <v>0</v>
      </c>
      <c r="I33" s="411">
        <f>IFERROR(VLOOKUP($B33,'Health Facilities'!$A$26:$M$34,9,FALSE),"")</f>
        <v>0</v>
      </c>
      <c r="J33" s="411">
        <f>IFERROR(VLOOKUP($B33,'Health Facilities'!$A$26:$M$34,10,FALSE),"")</f>
        <v>0</v>
      </c>
      <c r="K33" s="411" t="str">
        <f>IFERROR(VLOOKUP($B33,'Health Facilities'!$A$26:$M$34,11,FALSE),"")</f>
        <v/>
      </c>
      <c r="L33" s="411" t="str">
        <f>IFERROR(VLOOKUP($B33,'Health Facilities'!$A$26:$M$34,12,FALSE),"")</f>
        <v/>
      </c>
      <c r="M33" s="373">
        <f t="shared" si="1"/>
        <v>2.5783662540025697E-2</v>
      </c>
      <c r="N33" s="374">
        <f t="shared" si="2"/>
        <v>162.64334330248209</v>
      </c>
      <c r="O33" s="374">
        <f>IFERROR((N33*'Health Facilities'!$C$38), "")</f>
        <v>292.75801794446778</v>
      </c>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row>
    <row r="34" spans="2:47" x14ac:dyDescent="0.25">
      <c r="B34" s="62" t="s">
        <v>447</v>
      </c>
      <c r="C34" s="410">
        <f>IFERROR(VLOOKUP($B34,'Health Facilities'!$A$26:$M$34,3,FALSE),"")</f>
        <v>6308</v>
      </c>
      <c r="D34" s="411">
        <f>IFERROR(VLOOKUP($B34,'Health Facilities'!$A$26:$M$34,4,FALSE),"")</f>
        <v>0</v>
      </c>
      <c r="E34" s="411">
        <f>IFERROR(VLOOKUP($B34,'Health Facilities'!$A$26:$M$34,5,FALSE),"")</f>
        <v>1.8736532228087425E-3</v>
      </c>
      <c r="F34" s="411">
        <f>IFERROR(VLOOKUP($B34,'Health Facilities'!$A$26:$M$34,6,FALSE),"")</f>
        <v>2.299089167015813E-2</v>
      </c>
      <c r="G34" s="411">
        <f>IFERROR(VLOOKUP($B34,'Health Facilities'!$A$26:$M$34,7,FALSE),"")</f>
        <v>9.1911764705882352E-4</v>
      </c>
      <c r="H34" s="411">
        <f>IFERROR(VLOOKUP($B34,'Health Facilities'!$A$26:$M$34,8,FALSE),"")</f>
        <v>0</v>
      </c>
      <c r="I34" s="411">
        <f>IFERROR(VLOOKUP($B34,'Health Facilities'!$A$26:$M$34,9,FALSE),"")</f>
        <v>0</v>
      </c>
      <c r="J34" s="411">
        <f>IFERROR(VLOOKUP($B34,'Health Facilities'!$A$26:$M$34,10,FALSE),"")</f>
        <v>0</v>
      </c>
      <c r="K34" s="411" t="str">
        <f>IFERROR(VLOOKUP($B34,'Health Facilities'!$A$26:$M$34,11,FALSE),"")</f>
        <v/>
      </c>
      <c r="L34" s="411" t="str">
        <f>IFERROR(VLOOKUP($B34,'Health Facilities'!$A$26:$M$34,12,FALSE),"")</f>
        <v/>
      </c>
      <c r="M34" s="373">
        <f t="shared" si="1"/>
        <v>2.5783662540025697E-2</v>
      </c>
      <c r="N34" s="374">
        <f t="shared" si="2"/>
        <v>162.64334330248209</v>
      </c>
      <c r="O34" s="374">
        <f>IFERROR((N34*'Health Facilities'!$C$38), "")</f>
        <v>292.75801794446778</v>
      </c>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row>
    <row r="35" spans="2:47" x14ac:dyDescent="0.25">
      <c r="B35" s="62" t="s">
        <v>447</v>
      </c>
      <c r="C35" s="410">
        <f>IFERROR(VLOOKUP($B35,'Health Facilities'!$A$26:$M$34,3,FALSE),"")</f>
        <v>6308</v>
      </c>
      <c r="D35" s="411">
        <f>IFERROR(VLOOKUP($B35,'Health Facilities'!$A$26:$M$34,4,FALSE),"")</f>
        <v>0</v>
      </c>
      <c r="E35" s="411">
        <f>IFERROR(VLOOKUP($B35,'Health Facilities'!$A$26:$M$34,5,FALSE),"")</f>
        <v>1.8736532228087425E-3</v>
      </c>
      <c r="F35" s="411">
        <f>IFERROR(VLOOKUP($B35,'Health Facilities'!$A$26:$M$34,6,FALSE),"")</f>
        <v>2.299089167015813E-2</v>
      </c>
      <c r="G35" s="411">
        <f>IFERROR(VLOOKUP($B35,'Health Facilities'!$A$26:$M$34,7,FALSE),"")</f>
        <v>9.1911764705882352E-4</v>
      </c>
      <c r="H35" s="411">
        <f>IFERROR(VLOOKUP($B35,'Health Facilities'!$A$26:$M$34,8,FALSE),"")</f>
        <v>0</v>
      </c>
      <c r="I35" s="411">
        <f>IFERROR(VLOOKUP($B35,'Health Facilities'!$A$26:$M$34,9,FALSE),"")</f>
        <v>0</v>
      </c>
      <c r="J35" s="411">
        <f>IFERROR(VLOOKUP($B35,'Health Facilities'!$A$26:$M$34,10,FALSE),"")</f>
        <v>0</v>
      </c>
      <c r="K35" s="411" t="str">
        <f>IFERROR(VLOOKUP($B35,'Health Facilities'!$A$26:$M$34,11,FALSE),"")</f>
        <v/>
      </c>
      <c r="L35" s="411" t="str">
        <f>IFERROR(VLOOKUP($B35,'Health Facilities'!$A$26:$M$34,12,FALSE),"")</f>
        <v/>
      </c>
      <c r="M35" s="373">
        <f t="shared" si="1"/>
        <v>2.5783662540025697E-2</v>
      </c>
      <c r="N35" s="374">
        <f t="shared" si="2"/>
        <v>162.64334330248209</v>
      </c>
      <c r="O35" s="374">
        <f>IFERROR((N35*'Health Facilities'!$C$38), "")</f>
        <v>292.75801794446778</v>
      </c>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row>
    <row r="36" spans="2:47" x14ac:dyDescent="0.25">
      <c r="B36" s="62" t="s">
        <v>447</v>
      </c>
      <c r="C36" s="410">
        <f>IFERROR(VLOOKUP($B36,'Health Facilities'!$A$26:$M$34,3,FALSE),"")</f>
        <v>6308</v>
      </c>
      <c r="D36" s="411">
        <f>IFERROR(VLOOKUP($B36,'Health Facilities'!$A$26:$M$34,4,FALSE),"")</f>
        <v>0</v>
      </c>
      <c r="E36" s="411">
        <f>IFERROR(VLOOKUP($B36,'Health Facilities'!$A$26:$M$34,5,FALSE),"")</f>
        <v>1.8736532228087425E-3</v>
      </c>
      <c r="F36" s="411">
        <f>IFERROR(VLOOKUP($B36,'Health Facilities'!$A$26:$M$34,6,FALSE),"")</f>
        <v>2.299089167015813E-2</v>
      </c>
      <c r="G36" s="411">
        <f>IFERROR(VLOOKUP($B36,'Health Facilities'!$A$26:$M$34,7,FALSE),"")</f>
        <v>9.1911764705882352E-4</v>
      </c>
      <c r="H36" s="411">
        <f>IFERROR(VLOOKUP($B36,'Health Facilities'!$A$26:$M$34,8,FALSE),"")</f>
        <v>0</v>
      </c>
      <c r="I36" s="411">
        <f>IFERROR(VLOOKUP($B36,'Health Facilities'!$A$26:$M$34,9,FALSE),"")</f>
        <v>0</v>
      </c>
      <c r="J36" s="411">
        <f>IFERROR(VLOOKUP($B36,'Health Facilities'!$A$26:$M$34,10,FALSE),"")</f>
        <v>0</v>
      </c>
      <c r="K36" s="411" t="str">
        <f>IFERROR(VLOOKUP($B36,'Health Facilities'!$A$26:$M$34,11,FALSE),"")</f>
        <v/>
      </c>
      <c r="L36" s="411" t="str">
        <f>IFERROR(VLOOKUP($B36,'Health Facilities'!$A$26:$M$34,12,FALSE),"")</f>
        <v/>
      </c>
      <c r="M36" s="373">
        <f t="shared" si="1"/>
        <v>2.5783662540025697E-2</v>
      </c>
      <c r="N36" s="374">
        <f t="shared" si="2"/>
        <v>162.64334330248209</v>
      </c>
      <c r="O36" s="374">
        <f>IFERROR((N36*'Health Facilities'!$C$38), "")</f>
        <v>292.75801794446778</v>
      </c>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row>
    <row r="37" spans="2:47" x14ac:dyDescent="0.25">
      <c r="B37" s="62" t="s">
        <v>447</v>
      </c>
      <c r="C37" s="410">
        <f>IFERROR(VLOOKUP($B37,'Health Facilities'!$A$26:$M$34,3,FALSE),"")</f>
        <v>6308</v>
      </c>
      <c r="D37" s="411">
        <f>IFERROR(VLOOKUP($B37,'Health Facilities'!$A$26:$M$34,4,FALSE),"")</f>
        <v>0</v>
      </c>
      <c r="E37" s="411">
        <f>IFERROR(VLOOKUP($B37,'Health Facilities'!$A$26:$M$34,5,FALSE),"")</f>
        <v>1.8736532228087425E-3</v>
      </c>
      <c r="F37" s="411">
        <f>IFERROR(VLOOKUP($B37,'Health Facilities'!$A$26:$M$34,6,FALSE),"")</f>
        <v>2.299089167015813E-2</v>
      </c>
      <c r="G37" s="411">
        <f>IFERROR(VLOOKUP($B37,'Health Facilities'!$A$26:$M$34,7,FALSE),"")</f>
        <v>9.1911764705882352E-4</v>
      </c>
      <c r="H37" s="411">
        <f>IFERROR(VLOOKUP($B37,'Health Facilities'!$A$26:$M$34,8,FALSE),"")</f>
        <v>0</v>
      </c>
      <c r="I37" s="411">
        <f>IFERROR(VLOOKUP($B37,'Health Facilities'!$A$26:$M$34,9,FALSE),"")</f>
        <v>0</v>
      </c>
      <c r="J37" s="411">
        <f>IFERROR(VLOOKUP($B37,'Health Facilities'!$A$26:$M$34,10,FALSE),"")</f>
        <v>0</v>
      </c>
      <c r="K37" s="411" t="str">
        <f>IFERROR(VLOOKUP($B37,'Health Facilities'!$A$26:$M$34,11,FALSE),"")</f>
        <v/>
      </c>
      <c r="L37" s="411" t="str">
        <f>IFERROR(VLOOKUP($B37,'Health Facilities'!$A$26:$M$34,12,FALSE),"")</f>
        <v/>
      </c>
      <c r="M37" s="373">
        <f t="shared" si="1"/>
        <v>2.5783662540025697E-2</v>
      </c>
      <c r="N37" s="374">
        <f t="shared" si="2"/>
        <v>162.64334330248209</v>
      </c>
      <c r="O37" s="374">
        <f>IFERROR((N37*'Health Facilities'!$C$38), "")</f>
        <v>292.75801794446778</v>
      </c>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row>
    <row r="38" spans="2:47" x14ac:dyDescent="0.25">
      <c r="B38" s="62"/>
      <c r="C38" s="410"/>
      <c r="D38" s="411"/>
      <c r="E38" s="411"/>
      <c r="F38" s="411"/>
      <c r="G38" s="411"/>
      <c r="H38" s="411"/>
      <c r="I38" s="411"/>
      <c r="J38" s="411"/>
      <c r="K38" s="411"/>
      <c r="L38" s="411"/>
      <c r="M38" s="373">
        <f t="shared" si="1"/>
        <v>0</v>
      </c>
      <c r="N38" s="374">
        <f t="shared" si="2"/>
        <v>0</v>
      </c>
      <c r="O38" s="374">
        <f>IFERROR((N38*'Health Facilities'!$C$38), "")</f>
        <v>0</v>
      </c>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row>
    <row r="39" spans="2:47" x14ac:dyDescent="0.25">
      <c r="B39" s="62"/>
      <c r="C39" s="410"/>
      <c r="D39" s="411"/>
      <c r="E39" s="411"/>
      <c r="F39" s="411"/>
      <c r="G39" s="411"/>
      <c r="H39" s="411"/>
      <c r="I39" s="411"/>
      <c r="J39" s="411"/>
      <c r="K39" s="411"/>
      <c r="L39" s="411"/>
      <c r="M39" s="373">
        <f t="shared" si="1"/>
        <v>0</v>
      </c>
      <c r="N39" s="374">
        <f t="shared" si="2"/>
        <v>0</v>
      </c>
      <c r="O39" s="374">
        <f>IFERROR((N39*'Health Facilities'!$C$38), "")</f>
        <v>0</v>
      </c>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row>
    <row r="40" spans="2:47" x14ac:dyDescent="0.25">
      <c r="B40" s="62"/>
      <c r="C40" s="410"/>
      <c r="D40" s="411"/>
      <c r="E40" s="411"/>
      <c r="F40" s="411"/>
      <c r="G40" s="411"/>
      <c r="H40" s="411"/>
      <c r="I40" s="411"/>
      <c r="J40" s="411"/>
      <c r="K40" s="411"/>
      <c r="L40" s="411"/>
      <c r="M40" s="373">
        <f t="shared" si="1"/>
        <v>0</v>
      </c>
      <c r="N40" s="374">
        <f t="shared" si="2"/>
        <v>0</v>
      </c>
      <c r="O40" s="374">
        <f>IFERROR((N40*'Health Facilities'!$C$38), "")</f>
        <v>0</v>
      </c>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row>
    <row r="41" spans="2:47" x14ac:dyDescent="0.25">
      <c r="B41" s="62"/>
      <c r="C41" s="410"/>
      <c r="D41" s="411"/>
      <c r="E41" s="411"/>
      <c r="F41" s="411"/>
      <c r="G41" s="411"/>
      <c r="H41" s="411"/>
      <c r="I41" s="411"/>
      <c r="J41" s="411"/>
      <c r="K41" s="411"/>
      <c r="L41" s="411"/>
      <c r="M41" s="373">
        <f t="shared" si="1"/>
        <v>0</v>
      </c>
      <c r="N41" s="374">
        <f t="shared" si="2"/>
        <v>0</v>
      </c>
      <c r="O41" s="374">
        <f>IFERROR((N41*'Health Facilities'!$C$38), "")</f>
        <v>0</v>
      </c>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row>
    <row r="42" spans="2:47" x14ac:dyDescent="0.25">
      <c r="B42" s="62" t="s">
        <v>86</v>
      </c>
      <c r="C42" s="410">
        <f>IFERROR(VLOOKUP($B42,'Health Facilities'!$A$26:$M$34,3,FALSE),"")</f>
        <v>0</v>
      </c>
      <c r="D42" s="411">
        <f>IFERROR(VLOOKUP($B42,'Health Facilities'!$A$26:$M$34,4,FALSE),"")</f>
        <v>0</v>
      </c>
      <c r="E42" s="411">
        <f>IFERROR(VLOOKUP($B42,'Health Facilities'!$A$26:$M$34,5,FALSE),"")</f>
        <v>0</v>
      </c>
      <c r="F42" s="411">
        <f>IFERROR(VLOOKUP($B42,'Health Facilities'!$A$26:$M$34,6,FALSE),"")</f>
        <v>0</v>
      </c>
      <c r="G42" s="411">
        <f>IFERROR(VLOOKUP($B42,'Health Facilities'!$A$26:$M$34,7,FALSE),"")</f>
        <v>0</v>
      </c>
      <c r="H42" s="411">
        <f>IFERROR(VLOOKUP($B42,'Health Facilities'!$A$26:$M$34,8,FALSE),"")</f>
        <v>0</v>
      </c>
      <c r="I42" s="411">
        <f>IFERROR(VLOOKUP($B42,'Health Facilities'!$A$26:$M$34,9,FALSE),"")</f>
        <v>0</v>
      </c>
      <c r="J42" s="411">
        <f>IFERROR(VLOOKUP($B42,'Health Facilities'!$A$26:$M$34,10,FALSE),"")</f>
        <v>0</v>
      </c>
      <c r="K42" s="411">
        <f>IFERROR(VLOOKUP($B42,'Health Facilities'!$A$26:$M$34,11,FALSE),"")</f>
        <v>0</v>
      </c>
      <c r="L42" s="411">
        <f>IFERROR(VLOOKUP($B42,'Health Facilities'!$A$26:$M$34,12,FALSE),"")</f>
        <v>0</v>
      </c>
      <c r="M42" s="373">
        <f t="shared" si="1"/>
        <v>0</v>
      </c>
      <c r="N42" s="374">
        <f t="shared" si="2"/>
        <v>0</v>
      </c>
      <c r="O42" s="374">
        <f>N42*'Health Facilities'!$C$38</f>
        <v>0</v>
      </c>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row>
    <row r="43" spans="2:47" x14ac:dyDescent="0.25">
      <c r="B43" s="10"/>
      <c r="C43" s="375"/>
      <c r="D43" s="372"/>
      <c r="E43" s="372"/>
      <c r="F43" s="372"/>
      <c r="G43" s="372"/>
      <c r="H43" s="372"/>
      <c r="I43" s="372"/>
      <c r="J43" s="372"/>
      <c r="K43" s="372"/>
      <c r="L43" s="376" t="s">
        <v>321</v>
      </c>
      <c r="M43" s="377">
        <f>SUM(M17:M42)</f>
        <v>0.45736775664031831</v>
      </c>
      <c r="N43" s="378">
        <f>SUM(N17:N42)</f>
        <v>3993.9291075103793</v>
      </c>
      <c r="O43" s="378">
        <f>SUM(O17:O42)</f>
        <v>7189.0723935186797</v>
      </c>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row>
    <row r="44" spans="2:47" ht="19.5" customHeight="1" x14ac:dyDescent="0.25">
      <c r="B44" s="55"/>
      <c r="C44" s="56"/>
      <c r="D44" s="56"/>
      <c r="E44" s="56"/>
      <c r="F44" s="56"/>
      <c r="G44" s="56"/>
      <c r="H44" s="229"/>
      <c r="I44" s="229"/>
      <c r="J44" s="229"/>
      <c r="K44" s="229"/>
      <c r="L44" s="229"/>
      <c r="M44" s="113"/>
      <c r="N44" s="113"/>
      <c r="O44" s="294"/>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row>
    <row r="45" spans="2:47" ht="24.75" customHeight="1" x14ac:dyDescent="0.25">
      <c r="B45" s="445" t="s">
        <v>430</v>
      </c>
      <c r="C45" s="445"/>
      <c r="D45" s="445"/>
      <c r="E45" s="445"/>
      <c r="F45" s="445"/>
      <c r="G45" s="164"/>
      <c r="H45" s="295"/>
      <c r="I45" s="164"/>
      <c r="J45" s="164"/>
      <c r="K45" s="164"/>
      <c r="L45" s="164"/>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row>
    <row r="46" spans="2:47" ht="12" customHeight="1" x14ac:dyDescent="0.25">
      <c r="B46" s="55"/>
      <c r="C46" s="56"/>
      <c r="D46" s="56"/>
      <c r="E46" s="56"/>
      <c r="F46" s="56"/>
      <c r="G46" s="56"/>
      <c r="H46" s="229"/>
      <c r="I46" s="229"/>
      <c r="J46" s="229"/>
      <c r="K46" s="229"/>
      <c r="L46" s="229"/>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row>
    <row r="47" spans="2:47" x14ac:dyDescent="0.25">
      <c r="B47" s="221" t="s">
        <v>431</v>
      </c>
      <c r="C47" s="56"/>
      <c r="D47" s="56"/>
      <c r="E47" s="56"/>
      <c r="F47" s="56"/>
      <c r="G47" s="56"/>
      <c r="H47" s="229"/>
      <c r="I47" s="229"/>
      <c r="J47" s="229"/>
      <c r="K47" s="229"/>
      <c r="L47" s="229"/>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row>
    <row r="48" spans="2:47" ht="60" x14ac:dyDescent="0.25">
      <c r="B48" s="225" t="s">
        <v>454</v>
      </c>
      <c r="C48" s="245" t="s">
        <v>459</v>
      </c>
      <c r="D48" s="245" t="s">
        <v>460</v>
      </c>
      <c r="E48" s="245" t="s">
        <v>461</v>
      </c>
      <c r="F48" s="245" t="s">
        <v>462</v>
      </c>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2:40" x14ac:dyDescent="0.25">
      <c r="B49" s="62" t="str">
        <f t="shared" ref="B49:B60" si="3">B17</f>
        <v>Reference Laboratory</v>
      </c>
      <c r="C49" s="412">
        <f>IFERROR((VLOOKUP($B49,'Health Facilities'!$A$65:$F$73,3,FALSE)/365)*'Capital &amp; Overheads'!$M17,"")</f>
        <v>150.90949921401304</v>
      </c>
      <c r="D49" s="413">
        <f>IFERROR($C49/'Set up'!$C$9,"")</f>
        <v>1.4853297166733568</v>
      </c>
      <c r="E49" s="414">
        <f>IFERROR((VLOOKUP($B49,'Health Facilities'!$A$65:$F$73,5,FALSE)/365)*'Capital &amp; Overheads'!$M17,"")</f>
        <v>56.591062205254893</v>
      </c>
      <c r="F49" s="413">
        <f>IFERROR($E49/'Set up'!$C$9,"")</f>
        <v>0.55699864375250885</v>
      </c>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row>
    <row r="50" spans="2:40" x14ac:dyDescent="0.25">
      <c r="B50" s="62" t="str">
        <f t="shared" si="3"/>
        <v>Regional/Provincial/County Hospital</v>
      </c>
      <c r="C50" s="412">
        <f>IFERROR((VLOOKUP($B50,'Health Facilities'!$A$65:$F$73,3,FALSE)/365)*'Capital &amp; Overheads'!$M18,"")</f>
        <v>19.326721392132999</v>
      </c>
      <c r="D50" s="413">
        <f>IFERROR($C50/'Set up'!$C$9,"")</f>
        <v>0.19022363574934056</v>
      </c>
      <c r="E50" s="414">
        <f>IFERROR((VLOOKUP($B50,'Health Facilities'!$A$65:$F$73,5,FALSE)/365)*'Capital &amp; Overheads'!$M18,"")</f>
        <v>11.04384079550457</v>
      </c>
      <c r="F50" s="413">
        <f>IFERROR($E50/'Set up'!$C$9,"")</f>
        <v>0.10869922042819459</v>
      </c>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row>
    <row r="51" spans="2:40" x14ac:dyDescent="0.25">
      <c r="B51" s="62" t="str">
        <f t="shared" si="3"/>
        <v>Regional/Provincial/County Hospital</v>
      </c>
      <c r="C51" s="412">
        <f>IFERROR((VLOOKUP($B51,'Health Facilities'!$A$65:$F$73,3,FALSE)/365)*'Capital &amp; Overheads'!$M19,"")</f>
        <v>19.326721392132999</v>
      </c>
      <c r="D51" s="413">
        <f>IFERROR($C51/'Set up'!$C$9,"")</f>
        <v>0.19022363574934056</v>
      </c>
      <c r="E51" s="414">
        <f>IFERROR((VLOOKUP($B51,'Health Facilities'!$A$65:$F$73,5,FALSE)/365)*'Capital &amp; Overheads'!$M19,"")</f>
        <v>11.04384079550457</v>
      </c>
      <c r="F51" s="413">
        <f>IFERROR($E51/'Set up'!$C$9,"")</f>
        <v>0.10869922042819459</v>
      </c>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row>
    <row r="52" spans="2:40" x14ac:dyDescent="0.25">
      <c r="B52" s="62" t="str">
        <f t="shared" si="3"/>
        <v>Sub-district Hospital</v>
      </c>
      <c r="C52" s="412">
        <f>IFERROR((VLOOKUP($B52,'Health Facilities'!$A$65:$F$73,3,FALSE)/365)*'Capital &amp; Overheads'!$M20,"")</f>
        <v>4.7233083874977337</v>
      </c>
      <c r="D52" s="413">
        <f>IFERROR($C52/'Set up'!$C$9,"")</f>
        <v>4.6489255782458015E-2</v>
      </c>
      <c r="E52" s="414">
        <f>IFERROR((VLOOKUP($B52,'Health Facilities'!$A$65:$F$73,5,FALSE)/365)*'Capital &amp; Overheads'!$M20,"")</f>
        <v>1.7712406453116505</v>
      </c>
      <c r="F52" s="413">
        <f>IFERROR($E52/'Set up'!$C$9,"")</f>
        <v>1.7433470918421758E-2</v>
      </c>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row>
    <row r="53" spans="2:40" x14ac:dyDescent="0.25">
      <c r="B53" s="62" t="str">
        <f t="shared" si="3"/>
        <v>District Health Center</v>
      </c>
      <c r="C53" s="412">
        <f>IFERROR((VLOOKUP($B53,'Health Facilities'!$A$65:$F$73,3,FALSE)/365)*'Capital &amp; Overheads'!$M21,"")</f>
        <v>4.0192388355502455</v>
      </c>
      <c r="D53" s="413">
        <f>IFERROR($C53/'Set up'!$C$9,"")</f>
        <v>3.9559437357778011E-2</v>
      </c>
      <c r="E53" s="414">
        <f>IFERROR((VLOOKUP($B53,'Health Facilities'!$A$65:$F$73,5,FALSE)/365)*'Capital &amp; Overheads'!$M21,"")</f>
        <v>0.40615466127665634</v>
      </c>
      <c r="F53" s="413">
        <f>IFERROR($E53/'Set up'!$C$9,"")</f>
        <v>3.997585248785988E-3</v>
      </c>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row>
    <row r="54" spans="2:40" x14ac:dyDescent="0.25">
      <c r="B54" s="62" t="str">
        <f t="shared" si="3"/>
        <v>District Health Center</v>
      </c>
      <c r="C54" s="412">
        <f>IFERROR((VLOOKUP($B54,'Health Facilities'!$A$65:$F$73,3,FALSE)/365)*'Capital &amp; Overheads'!$M22,"")</f>
        <v>4.0192388355502455</v>
      </c>
      <c r="D54" s="413">
        <f>IFERROR($C54/'Set up'!$C$9,"")</f>
        <v>3.9559437357778011E-2</v>
      </c>
      <c r="E54" s="414">
        <f>IFERROR((VLOOKUP($B54,'Health Facilities'!$A$65:$F$73,5,FALSE)/365)*'Capital &amp; Overheads'!$M22,"")</f>
        <v>0.40615466127665634</v>
      </c>
      <c r="F54" s="413">
        <f>IFERROR($E54/'Set up'!$C$9,"")</f>
        <v>3.997585248785988E-3</v>
      </c>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row>
    <row r="55" spans="2:40" x14ac:dyDescent="0.25">
      <c r="B55" s="62" t="str">
        <f t="shared" si="3"/>
        <v>District Health Center</v>
      </c>
      <c r="C55" s="412">
        <f>IFERROR((VLOOKUP($B55,'Health Facilities'!$A$65:$F$73,3,FALSE)/365)*'Capital &amp; Overheads'!$M23,"")</f>
        <v>4.0192388355502455</v>
      </c>
      <c r="D55" s="413">
        <f>IFERROR($C55/'Set up'!$C$9,"")</f>
        <v>3.9559437357778011E-2</v>
      </c>
      <c r="E55" s="414">
        <f>IFERROR((VLOOKUP($B55,'Health Facilities'!$A$65:$F$73,5,FALSE)/365)*'Capital &amp; Overheads'!$M23,"")</f>
        <v>0.40615466127665634</v>
      </c>
      <c r="F55" s="413">
        <f>IFERROR($E55/'Set up'!$C$9,"")</f>
        <v>3.997585248785988E-3</v>
      </c>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row>
    <row r="56" spans="2:40" x14ac:dyDescent="0.25">
      <c r="B56" s="62" t="str">
        <f t="shared" si="3"/>
        <v>District Health Center</v>
      </c>
      <c r="C56" s="412">
        <f>IFERROR((VLOOKUP($B56,'Health Facilities'!$A$65:$F$73,3,FALSE)/365)*'Capital &amp; Overheads'!$M24,"")</f>
        <v>4.0192388355502455</v>
      </c>
      <c r="D56" s="413">
        <f>IFERROR($C56/'Set up'!$C$9,"")</f>
        <v>3.9559437357778011E-2</v>
      </c>
      <c r="E56" s="414">
        <f>IFERROR((VLOOKUP($B56,'Health Facilities'!$A$65:$F$73,5,FALSE)/365)*'Capital &amp; Overheads'!$M24,"")</f>
        <v>0.40615466127665634</v>
      </c>
      <c r="F56" s="413">
        <f>IFERROR($E56/'Set up'!$C$9,"")</f>
        <v>3.997585248785988E-3</v>
      </c>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row>
    <row r="57" spans="2:40" x14ac:dyDescent="0.25">
      <c r="B57" s="62" t="str">
        <f t="shared" si="3"/>
        <v>District Health Center</v>
      </c>
      <c r="C57" s="412">
        <f>IFERROR((VLOOKUP($B57,'Health Facilities'!$A$65:$F$73,3,FALSE)/365)*'Capital &amp; Overheads'!$M25,"")</f>
        <v>4.0192388355502455</v>
      </c>
      <c r="D57" s="413">
        <f>IFERROR($C57/'Set up'!$C$9,"")</f>
        <v>3.9559437357778011E-2</v>
      </c>
      <c r="E57" s="414">
        <f>IFERROR((VLOOKUP($B57,'Health Facilities'!$A$65:$F$73,5,FALSE)/365)*'Capital &amp; Overheads'!$M25,"")</f>
        <v>0.40615466127665634</v>
      </c>
      <c r="F57" s="413">
        <f>IFERROR($E57/'Set up'!$C$9,"")</f>
        <v>3.997585248785988E-3</v>
      </c>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row>
    <row r="58" spans="2:40" x14ac:dyDescent="0.25">
      <c r="B58" s="62" t="str">
        <f t="shared" si="3"/>
        <v>District Health Center</v>
      </c>
      <c r="C58" s="412">
        <f>IFERROR((VLOOKUP($B58,'Health Facilities'!$A$65:$F$73,3,FALSE)/365)*'Capital &amp; Overheads'!$M26,"")</f>
        <v>4.0192388355502455</v>
      </c>
      <c r="D58" s="413">
        <f>IFERROR($C58/'Set up'!$C$9,"")</f>
        <v>3.9559437357778011E-2</v>
      </c>
      <c r="E58" s="414">
        <f>IFERROR((VLOOKUP($B58,'Health Facilities'!$A$65:$F$73,5,FALSE)/365)*'Capital &amp; Overheads'!$M26,"")</f>
        <v>0.40615466127665634</v>
      </c>
      <c r="F58" s="413">
        <f>IFERROR($E58/'Set up'!$C$9,"")</f>
        <v>3.997585248785988E-3</v>
      </c>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row>
    <row r="59" spans="2:40" x14ac:dyDescent="0.25">
      <c r="B59" s="62" t="str">
        <f t="shared" si="3"/>
        <v>Dispensary</v>
      </c>
      <c r="C59" s="412">
        <f>IFERROR((VLOOKUP($B59,'Health Facilities'!$A$65:$F$73,3,FALSE)/365)*'Capital &amp; Overheads'!$M27,"")</f>
        <v>4.0264897665245609</v>
      </c>
      <c r="D59" s="413">
        <f>IFERROR($C59/'Set up'!$C$9,"")</f>
        <v>3.9630804788627572E-2</v>
      </c>
      <c r="E59" s="414">
        <f>IFERROR((VLOOKUP($B59,'Health Facilities'!$A$65:$F$73,5,FALSE)/365)*'Capital &amp; Overheads'!$M27,"")</f>
        <v>0.76821186335008063</v>
      </c>
      <c r="F59" s="413">
        <f>IFERROR($E59/'Set up'!$C$9,"")</f>
        <v>7.5611403873039433E-3</v>
      </c>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row>
    <row r="60" spans="2:40" x14ac:dyDescent="0.25">
      <c r="B60" s="62" t="str">
        <f t="shared" si="3"/>
        <v>Dispensary</v>
      </c>
      <c r="C60" s="412">
        <f>IFERROR((VLOOKUP($B60,'Health Facilities'!$A$65:$F$73,3,FALSE)/365)*'Capital &amp; Overheads'!$M28,"")</f>
        <v>4.0264897665245609</v>
      </c>
      <c r="D60" s="413">
        <f>IFERROR($C60/'Set up'!$C$9,"")</f>
        <v>3.9630804788627572E-2</v>
      </c>
      <c r="E60" s="414">
        <f>IFERROR((VLOOKUP($B60,'Health Facilities'!$A$65:$F$73,5,FALSE)/365)*'Capital &amp; Overheads'!$M28,"")</f>
        <v>0.76821186335008063</v>
      </c>
      <c r="F60" s="413">
        <f>IFERROR($E60/'Set up'!$C$9,"")</f>
        <v>7.5611403873039433E-3</v>
      </c>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row>
    <row r="61" spans="2:40" x14ac:dyDescent="0.25">
      <c r="B61" s="62" t="str">
        <f t="shared" ref="B61:B69" si="4">B29</f>
        <v>Dispensary</v>
      </c>
      <c r="C61" s="412">
        <f>IFERROR((VLOOKUP($B61,'Health Facilities'!$A$65:$F$73,3,FALSE)/365)*'Capital &amp; Overheads'!$M29,"")</f>
        <v>4.0264897665245609</v>
      </c>
      <c r="D61" s="413">
        <f>IFERROR($C61/'Set up'!$C$9,"")</f>
        <v>3.9630804788627572E-2</v>
      </c>
      <c r="E61" s="414">
        <f>IFERROR((VLOOKUP($B61,'Health Facilities'!$A$65:$F$73,5,FALSE)/365)*'Capital &amp; Overheads'!$M29,"")</f>
        <v>0.76821186335008063</v>
      </c>
      <c r="F61" s="413">
        <f>IFERROR($E61/'Set up'!$C$9,"")</f>
        <v>7.5611403873039433E-3</v>
      </c>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row>
    <row r="62" spans="2:40" x14ac:dyDescent="0.25">
      <c r="B62" s="62" t="str">
        <f t="shared" si="4"/>
        <v>Dispensary</v>
      </c>
      <c r="C62" s="412">
        <f>IFERROR((VLOOKUP($B62,'Health Facilities'!$A$65:$F$73,3,FALSE)/365)*'Capital &amp; Overheads'!$M30,"")</f>
        <v>4.0264897665245609</v>
      </c>
      <c r="D62" s="413">
        <f>IFERROR($C62/'Set up'!$C$9,"")</f>
        <v>3.9630804788627572E-2</v>
      </c>
      <c r="E62" s="414">
        <f>IFERROR((VLOOKUP($B62,'Health Facilities'!$A$65:$F$73,5,FALSE)/365)*'Capital &amp; Overheads'!$M30,"")</f>
        <v>0.76821186335008063</v>
      </c>
      <c r="F62" s="413">
        <f>IFERROR($E62/'Set up'!$C$9,"")</f>
        <v>7.5611403873039433E-3</v>
      </c>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row>
    <row r="63" spans="2:40" x14ac:dyDescent="0.25">
      <c r="B63" s="62" t="str">
        <f t="shared" si="4"/>
        <v>Dispensary</v>
      </c>
      <c r="C63" s="412">
        <f>IFERROR((VLOOKUP($B63,'Health Facilities'!$A$65:$F$73,3,FALSE)/365)*'Capital &amp; Overheads'!$M31,"")</f>
        <v>4.0264897665245609</v>
      </c>
      <c r="D63" s="413">
        <f>IFERROR($C63/'Set up'!$C$9,"")</f>
        <v>3.9630804788627572E-2</v>
      </c>
      <c r="E63" s="414">
        <f>IFERROR((VLOOKUP($B63,'Health Facilities'!$A$65:$F$73,5,FALSE)/365)*'Capital &amp; Overheads'!$M31,"")</f>
        <v>0.76821186335008063</v>
      </c>
      <c r="F63" s="413">
        <f>IFERROR($E63/'Set up'!$C$9,"")</f>
        <v>7.5611403873039433E-3</v>
      </c>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row>
    <row r="64" spans="2:40" x14ac:dyDescent="0.25">
      <c r="B64" s="62" t="str">
        <f t="shared" si="4"/>
        <v>Dispensary</v>
      </c>
      <c r="C64" s="412">
        <f>IFERROR((VLOOKUP($B64,'Health Facilities'!$A$65:$F$73,3,FALSE)/365)*'Capital &amp; Overheads'!$M32,"")</f>
        <v>4.0264897665245609</v>
      </c>
      <c r="D64" s="413">
        <f>IFERROR($C64/'Set up'!$C$9,"")</f>
        <v>3.9630804788627572E-2</v>
      </c>
      <c r="E64" s="414">
        <f>IFERROR((VLOOKUP($B64,'Health Facilities'!$A$65:$F$73,5,FALSE)/365)*'Capital &amp; Overheads'!$M32,"")</f>
        <v>0.76821186335008063</v>
      </c>
      <c r="F64" s="413">
        <f>IFERROR($E64/'Set up'!$C$9,"")</f>
        <v>7.5611403873039433E-3</v>
      </c>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row>
    <row r="65" spans="1:50" x14ac:dyDescent="0.25">
      <c r="B65" s="62" t="str">
        <f t="shared" si="4"/>
        <v>Dispensary</v>
      </c>
      <c r="C65" s="412">
        <f>IFERROR((VLOOKUP($B65,'Health Facilities'!$A$65:$F$73,3,FALSE)/365)*'Capital &amp; Overheads'!$M33,"")</f>
        <v>4.0264897665245609</v>
      </c>
      <c r="D65" s="413">
        <f>IFERROR($C65/'Set up'!$C$9,"")</f>
        <v>3.9630804788627572E-2</v>
      </c>
      <c r="E65" s="414">
        <f>IFERROR((VLOOKUP($B65,'Health Facilities'!$A$65:$F$73,5,FALSE)/365)*'Capital &amp; Overheads'!$M33,"")</f>
        <v>0.76821186335008063</v>
      </c>
      <c r="F65" s="413">
        <f>IFERROR($E65/'Set up'!$C$9,"")</f>
        <v>7.5611403873039433E-3</v>
      </c>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row>
    <row r="66" spans="1:50" x14ac:dyDescent="0.25">
      <c r="B66" s="62" t="str">
        <f t="shared" si="4"/>
        <v>Dispensary</v>
      </c>
      <c r="C66" s="412">
        <f>IFERROR((VLOOKUP($B66,'Health Facilities'!$A$65:$F$73,3,FALSE)/365)*'Capital &amp; Overheads'!$M34,"")</f>
        <v>4.0264897665245609</v>
      </c>
      <c r="D66" s="413">
        <f>IFERROR($C66/'Set up'!$C$9,"")</f>
        <v>3.9630804788627572E-2</v>
      </c>
      <c r="E66" s="414">
        <f>IFERROR((VLOOKUP($B66,'Health Facilities'!$A$65:$F$73,5,FALSE)/365)*'Capital &amp; Overheads'!$M34,"")</f>
        <v>0.76821186335008063</v>
      </c>
      <c r="F66" s="413">
        <f>IFERROR($E66/'Set up'!$C$9,"")</f>
        <v>7.5611403873039433E-3</v>
      </c>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row>
    <row r="67" spans="1:50" x14ac:dyDescent="0.25">
      <c r="B67" s="62" t="str">
        <f t="shared" si="4"/>
        <v>Dispensary</v>
      </c>
      <c r="C67" s="412">
        <f>IFERROR((VLOOKUP($B67,'Health Facilities'!$A$65:$F$73,3,FALSE)/365)*'Capital &amp; Overheads'!$M35,"")</f>
        <v>4.0264897665245609</v>
      </c>
      <c r="D67" s="413">
        <f>IFERROR($C67/'Set up'!$C$9,"")</f>
        <v>3.9630804788627572E-2</v>
      </c>
      <c r="E67" s="414">
        <f>IFERROR((VLOOKUP($B67,'Health Facilities'!$A$65:$F$73,5,FALSE)/365)*'Capital &amp; Overheads'!$M35,"")</f>
        <v>0.76821186335008063</v>
      </c>
      <c r="F67" s="413">
        <f>IFERROR($E67/'Set up'!$C$9,"")</f>
        <v>7.5611403873039433E-3</v>
      </c>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row>
    <row r="68" spans="1:50" x14ac:dyDescent="0.25">
      <c r="B68" s="62" t="str">
        <f t="shared" si="4"/>
        <v>Dispensary</v>
      </c>
      <c r="C68" s="412">
        <f>IFERROR((VLOOKUP($B68,'Health Facilities'!$A$65:$F$73,3,FALSE)/365)*'Capital &amp; Overheads'!$M36,"")</f>
        <v>4.0264897665245609</v>
      </c>
      <c r="D68" s="413">
        <f>IFERROR($C68/'Set up'!$C$9,"")</f>
        <v>3.9630804788627572E-2</v>
      </c>
      <c r="E68" s="414">
        <f>IFERROR((VLOOKUP($B68,'Health Facilities'!$A$65:$F$73,5,FALSE)/365)*'Capital &amp; Overheads'!$M36,"")</f>
        <v>0.76821186335008063</v>
      </c>
      <c r="F68" s="413">
        <f>IFERROR($E68/'Set up'!$C$9,"")</f>
        <v>7.5611403873039433E-3</v>
      </c>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row>
    <row r="69" spans="1:50" x14ac:dyDescent="0.25">
      <c r="B69" s="62" t="str">
        <f t="shared" si="4"/>
        <v>Dispensary</v>
      </c>
      <c r="C69" s="412">
        <f>IFERROR((VLOOKUP($B69,'Health Facilities'!$A$65:$F$73,3,FALSE)/365)*'Capital &amp; Overheads'!$M37,"")</f>
        <v>4.0264897665245609</v>
      </c>
      <c r="D69" s="413">
        <f>IFERROR($C69/'Set up'!$C$9,"")</f>
        <v>3.9630804788627572E-2</v>
      </c>
      <c r="E69" s="414">
        <f>IFERROR((VLOOKUP($B69,'Health Facilities'!$A$65:$F$73,5,FALSE)/365)*'Capital &amp; Overheads'!$M37,"")</f>
        <v>0.76821186335008063</v>
      </c>
      <c r="F69" s="413">
        <f>IFERROR($E69/'Set up'!$C$9,"")</f>
        <v>7.5611403873039433E-3</v>
      </c>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row>
    <row r="70" spans="1:50" x14ac:dyDescent="0.25">
      <c r="B70" s="62" t="str">
        <f>B42</f>
        <v>Other</v>
      </c>
      <c r="C70" s="412">
        <f>IFERROR((VLOOKUP($B70,'Health Facilities'!$A$65:$F$73,3,FALSE)/365)*'Capital &amp; Overheads'!$M42,"")</f>
        <v>0</v>
      </c>
      <c r="D70" s="413">
        <f>IFERROR($C70/'Set up'!$C$9,"")</f>
        <v>0</v>
      </c>
      <c r="E70" s="414">
        <f>IFERROR((VLOOKUP($B70,'Health Facilities'!$A$65:$F$73,5,FALSE)/365)*'Capital &amp; Overheads'!$M42,"")</f>
        <v>0</v>
      </c>
      <c r="F70" s="413">
        <f>IFERROR($E70/'Set up'!$C$9,"")</f>
        <v>0</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row>
    <row r="71" spans="1:50" x14ac:dyDescent="0.25">
      <c r="B71" s="69" t="s">
        <v>321</v>
      </c>
      <c r="C71" s="59">
        <f>SUM(C49:C70)</f>
        <v>262.69307083084834</v>
      </c>
      <c r="D71" s="344">
        <f>SUM(D49:D60)</f>
        <v>2.2288844776784198</v>
      </c>
      <c r="E71" s="59">
        <f>SUM(E49:E60)</f>
        <v>84.423336135935784</v>
      </c>
      <c r="F71" s="344">
        <f>SUM(F49:F60)</f>
        <v>0.83093834779464371</v>
      </c>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row>
    <row r="72" spans="1:50" x14ac:dyDescent="0.25">
      <c r="D72" s="230"/>
      <c r="E72" s="230"/>
      <c r="F72" s="230"/>
      <c r="G72" s="230"/>
      <c r="H72" s="230"/>
      <c r="I72" s="230"/>
      <c r="J72" s="231"/>
      <c r="K72" s="119"/>
      <c r="L72" s="119"/>
      <c r="M72" s="119"/>
      <c r="N72" s="119"/>
      <c r="O72" s="112"/>
      <c r="P72" s="112"/>
      <c r="Q72" s="112"/>
      <c r="R72" s="112"/>
      <c r="S72" s="112"/>
      <c r="T72" s="112"/>
      <c r="U72" s="112"/>
      <c r="V72" s="112"/>
      <c r="W72" s="112"/>
      <c r="X72" s="112"/>
      <c r="Y72" s="112"/>
      <c r="Z72" s="112"/>
      <c r="AA72" s="113"/>
      <c r="AB72" s="113"/>
      <c r="AC72" s="113"/>
      <c r="AD72" s="113"/>
      <c r="AE72" s="113"/>
      <c r="AF72" s="113"/>
      <c r="AG72" s="113"/>
      <c r="AH72" s="113"/>
      <c r="AI72" s="113"/>
      <c r="AJ72" s="113"/>
      <c r="AK72" s="113"/>
      <c r="AL72" s="113"/>
      <c r="AM72" s="113"/>
      <c r="AN72" s="113"/>
      <c r="AO72" s="113"/>
      <c r="AP72" s="113"/>
      <c r="AQ72" s="113"/>
      <c r="AR72" s="113"/>
      <c r="AS72" s="113"/>
      <c r="AT72" s="113"/>
      <c r="AU72" s="113"/>
    </row>
    <row r="73" spans="1:50" ht="22.9" customHeight="1" x14ac:dyDescent="0.25">
      <c r="B73" s="445" t="s">
        <v>433</v>
      </c>
      <c r="C73" s="445"/>
      <c r="D73" s="445"/>
      <c r="E73" s="445"/>
      <c r="F73" s="445"/>
      <c r="G73" s="445"/>
      <c r="H73" s="445"/>
      <c r="I73" s="445"/>
      <c r="J73" s="445"/>
      <c r="K73" s="445"/>
      <c r="L73" s="445"/>
      <c r="M73" s="119"/>
      <c r="N73" s="119"/>
      <c r="O73" s="119"/>
      <c r="P73" s="119"/>
      <c r="Q73" s="112"/>
      <c r="R73" s="112"/>
      <c r="S73" s="112"/>
      <c r="T73" s="112"/>
      <c r="U73" s="112"/>
      <c r="V73" s="112"/>
      <c r="W73" s="112"/>
      <c r="X73" s="112"/>
      <c r="Y73" s="112"/>
      <c r="Z73" s="112"/>
      <c r="AA73" s="112"/>
      <c r="AB73" s="112"/>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row>
    <row r="74" spans="1:50" s="112" customFormat="1" x14ac:dyDescent="0.25">
      <c r="B74" s="120"/>
      <c r="C74" s="120"/>
      <c r="D74" s="230"/>
      <c r="E74" s="230"/>
      <c r="F74" s="230"/>
      <c r="G74" s="230"/>
      <c r="H74" s="230"/>
      <c r="I74" s="230"/>
      <c r="J74" s="231"/>
      <c r="K74" s="231"/>
      <c r="L74" s="231"/>
      <c r="M74" s="158"/>
      <c r="N74" s="158"/>
      <c r="O74" s="158"/>
      <c r="P74" s="158"/>
    </row>
    <row r="75" spans="1:50" x14ac:dyDescent="0.25">
      <c r="B75" s="472" t="s">
        <v>434</v>
      </c>
      <c r="C75" s="472"/>
      <c r="D75" s="472"/>
      <c r="E75" s="472"/>
      <c r="F75" s="472"/>
      <c r="G75" s="472"/>
      <c r="H75" s="472"/>
      <c r="I75" s="472"/>
      <c r="J75" s="472"/>
      <c r="K75" s="472"/>
      <c r="L75" s="472"/>
      <c r="M75" s="231"/>
      <c r="N75" s="231"/>
      <c r="O75" s="231"/>
      <c r="P75" s="231"/>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row>
    <row r="76" spans="1:50" ht="45.6" customHeight="1" x14ac:dyDescent="0.25">
      <c r="A76" s="120"/>
      <c r="B76" s="225" t="s">
        <v>319</v>
      </c>
      <c r="C76" s="245" t="str">
        <f>'Set up'!B18</f>
        <v>Abbott M2000 RealTime</v>
      </c>
      <c r="D76" s="245" t="str">
        <f>'Set up'!B19</f>
        <v>Abbott M2000 RealTime</v>
      </c>
      <c r="E76" s="245" t="str">
        <f>'Set up'!B20</f>
        <v>Roche COBAS Ampliprep/TaqMan 48</v>
      </c>
      <c r="F76" s="245" t="str">
        <f>'Set up'!B21</f>
        <v>Roche COBAS Ampliprep/TaqMan 48</v>
      </c>
      <c r="G76" s="231"/>
    </row>
    <row r="77" spans="1:50" ht="12.75" customHeight="1" x14ac:dyDescent="0.25">
      <c r="A77" s="120"/>
      <c r="B77" s="62" t="s">
        <v>13</v>
      </c>
      <c r="C77" s="11">
        <v>0</v>
      </c>
      <c r="D77" s="11">
        <v>0</v>
      </c>
      <c r="E77" s="11">
        <v>0</v>
      </c>
      <c r="F77" s="11">
        <v>0</v>
      </c>
      <c r="G77" s="231"/>
    </row>
    <row r="78" spans="1:50" x14ac:dyDescent="0.25">
      <c r="A78" s="120"/>
      <c r="B78" s="62" t="s">
        <v>15</v>
      </c>
      <c r="C78" s="11">
        <v>0</v>
      </c>
      <c r="D78" s="11">
        <v>0</v>
      </c>
      <c r="E78" s="11">
        <v>0</v>
      </c>
      <c r="F78" s="11">
        <v>0</v>
      </c>
      <c r="G78" s="231"/>
    </row>
    <row r="79" spans="1:50" x14ac:dyDescent="0.25">
      <c r="A79" s="120"/>
      <c r="B79" s="62" t="s">
        <v>16</v>
      </c>
      <c r="C79" s="11">
        <v>2</v>
      </c>
      <c r="D79" s="11">
        <v>2</v>
      </c>
      <c r="E79" s="11">
        <v>2</v>
      </c>
      <c r="F79" s="11">
        <v>2</v>
      </c>
      <c r="G79" s="231"/>
    </row>
    <row r="80" spans="1:50" x14ac:dyDescent="0.25">
      <c r="B80" s="62" t="s">
        <v>22</v>
      </c>
      <c r="C80" s="11">
        <v>1</v>
      </c>
      <c r="D80" s="11">
        <v>1</v>
      </c>
      <c r="E80" s="11">
        <v>1</v>
      </c>
      <c r="F80" s="11">
        <v>1</v>
      </c>
    </row>
    <row r="81" spans="2:6" x14ac:dyDescent="0.25">
      <c r="B81" s="62" t="s">
        <v>109</v>
      </c>
      <c r="C81" s="11">
        <v>0</v>
      </c>
      <c r="D81" s="11">
        <v>0</v>
      </c>
      <c r="E81" s="11">
        <v>0</v>
      </c>
      <c r="F81" s="11">
        <v>0</v>
      </c>
    </row>
    <row r="82" spans="2:6" x14ac:dyDescent="0.25">
      <c r="B82" s="62" t="s">
        <v>7</v>
      </c>
      <c r="C82" s="11">
        <v>0</v>
      </c>
      <c r="D82" s="11">
        <v>0</v>
      </c>
      <c r="E82" s="11">
        <v>0</v>
      </c>
      <c r="F82" s="11">
        <v>0</v>
      </c>
    </row>
    <row r="83" spans="2:6" x14ac:dyDescent="0.25">
      <c r="B83" s="62" t="s">
        <v>110</v>
      </c>
      <c r="C83" s="11">
        <v>0</v>
      </c>
      <c r="D83" s="11">
        <v>0</v>
      </c>
      <c r="E83" s="11">
        <v>0</v>
      </c>
      <c r="F83" s="11">
        <v>0</v>
      </c>
    </row>
    <row r="84" spans="2:6" x14ac:dyDescent="0.25">
      <c r="B84" s="62" t="s">
        <v>117</v>
      </c>
      <c r="C84" s="11">
        <v>0</v>
      </c>
      <c r="D84" s="11">
        <v>0</v>
      </c>
      <c r="E84" s="11">
        <v>0</v>
      </c>
      <c r="F84" s="11">
        <v>0</v>
      </c>
    </row>
    <row r="85" spans="2:6" x14ac:dyDescent="0.25">
      <c r="B85" s="62" t="s">
        <v>100</v>
      </c>
      <c r="C85" s="11"/>
      <c r="D85" s="11"/>
      <c r="E85" s="11"/>
      <c r="F85" s="11"/>
    </row>
    <row r="86" spans="2:6" x14ac:dyDescent="0.25">
      <c r="B86" s="62" t="s">
        <v>100</v>
      </c>
      <c r="C86" s="11"/>
      <c r="D86" s="11"/>
      <c r="E86" s="11"/>
      <c r="F86" s="11"/>
    </row>
    <row r="87" spans="2:6" x14ac:dyDescent="0.25">
      <c r="B87" s="62" t="s">
        <v>100</v>
      </c>
      <c r="C87" s="11"/>
      <c r="D87" s="11"/>
      <c r="E87" s="11"/>
      <c r="F87" s="11"/>
    </row>
    <row r="88" spans="2:6" x14ac:dyDescent="0.25">
      <c r="B88" s="62" t="s">
        <v>100</v>
      </c>
      <c r="C88" s="11"/>
      <c r="D88" s="11"/>
      <c r="E88" s="11"/>
      <c r="F88" s="11"/>
    </row>
    <row r="89" spans="2:6" x14ac:dyDescent="0.25">
      <c r="B89" s="62" t="s">
        <v>100</v>
      </c>
      <c r="C89" s="11"/>
      <c r="D89" s="11"/>
      <c r="E89" s="11"/>
      <c r="F89" s="11"/>
    </row>
    <row r="90" spans="2:6" x14ac:dyDescent="0.25">
      <c r="B90" s="62" t="s">
        <v>100</v>
      </c>
      <c r="C90" s="11"/>
      <c r="D90" s="11"/>
      <c r="E90" s="11"/>
      <c r="F90" s="11"/>
    </row>
    <row r="91" spans="2:6" x14ac:dyDescent="0.25">
      <c r="B91" s="62" t="s">
        <v>100</v>
      </c>
      <c r="C91" s="11"/>
      <c r="D91" s="11"/>
      <c r="E91" s="11"/>
      <c r="F91" s="11"/>
    </row>
    <row r="92" spans="2:6" x14ac:dyDescent="0.25">
      <c r="B92" s="231"/>
      <c r="C92" s="231"/>
      <c r="D92" s="231"/>
      <c r="E92" s="231"/>
      <c r="F92" s="231"/>
    </row>
    <row r="93" spans="2:6" x14ac:dyDescent="0.25">
      <c r="B93" s="221" t="s">
        <v>527</v>
      </c>
      <c r="C93" s="56"/>
      <c r="D93" s="56"/>
      <c r="E93" s="56"/>
      <c r="F93" s="56"/>
    </row>
    <row r="94" spans="2:6" x14ac:dyDescent="0.25">
      <c r="B94" s="10" t="str">
        <f t="shared" ref="B94:B108" si="5">B77</f>
        <v>Nurse</v>
      </c>
      <c r="C94" s="340">
        <f>IFERROR((((VLOOKUP($B94,'Unit costs'!$B$25:$I$66,8,FALSE))*C77/60)),"")</f>
        <v>0</v>
      </c>
      <c r="D94" s="340">
        <f>IFERROR((((VLOOKUP($B94,'Unit costs'!$B$25:$I$66,8,FALSE))*D77/60)),"")</f>
        <v>0</v>
      </c>
      <c r="E94" s="340">
        <f>IFERROR((((VLOOKUP($B94,'Unit costs'!$B$25:$I$66,8,FALSE))*E77/60)),"")</f>
        <v>0</v>
      </c>
      <c r="F94" s="340">
        <f>IFERROR((((VLOOKUP($B94,'Unit costs'!$B$25:$I$66,8,FALSE))*F77/60)),"")</f>
        <v>0</v>
      </c>
    </row>
    <row r="95" spans="2:6" x14ac:dyDescent="0.25">
      <c r="B95" s="10" t="str">
        <f t="shared" si="5"/>
        <v>Doctor</v>
      </c>
      <c r="C95" s="340">
        <f>IFERROR((((VLOOKUP($B95,'Unit costs'!$B$25:$I$66,8,FALSE))*C78/60)),"")</f>
        <v>0</v>
      </c>
      <c r="D95" s="340">
        <f>IFERROR((((VLOOKUP($B95,'Unit costs'!$B$25:$I$66,8,FALSE))*D78/60)),"")</f>
        <v>0</v>
      </c>
      <c r="E95" s="340">
        <f>IFERROR((((VLOOKUP($B95,'Unit costs'!$B$25:$I$66,8,FALSE))*E78/60)),"")</f>
        <v>0</v>
      </c>
      <c r="F95" s="340">
        <f>IFERROR((((VLOOKUP($B95,'Unit costs'!$B$25:$I$66,8,FALSE))*F78/60)),"")</f>
        <v>0</v>
      </c>
    </row>
    <row r="96" spans="2:6" x14ac:dyDescent="0.25">
      <c r="B96" s="10" t="str">
        <f t="shared" si="5"/>
        <v>Clinical Officer</v>
      </c>
      <c r="C96" s="340">
        <f>IFERROR((((VLOOKUP($B96,'Unit costs'!$B$25:$I$66,8,FALSE))*C79/60)),"")</f>
        <v>0.15820539930555558</v>
      </c>
      <c r="D96" s="340">
        <f>IFERROR((((VLOOKUP($B96,'Unit costs'!$B$25:$I$66,8,FALSE))*D79/60)),"")</f>
        <v>0.15820539930555558</v>
      </c>
      <c r="E96" s="340">
        <f>IFERROR((((VLOOKUP($B96,'Unit costs'!$B$25:$I$66,8,FALSE))*E79/60)),"")</f>
        <v>0.15820539930555558</v>
      </c>
      <c r="F96" s="340">
        <f>IFERROR((((VLOOKUP($B96,'Unit costs'!$B$25:$I$66,8,FALSE))*F79/60)),"")</f>
        <v>0.15820539930555558</v>
      </c>
    </row>
    <row r="97" spans="2:13" x14ac:dyDescent="0.25">
      <c r="B97" s="10" t="str">
        <f t="shared" si="5"/>
        <v>Admin Officer</v>
      </c>
      <c r="C97" s="340">
        <f>IFERROR((((VLOOKUP($B97,'Unit costs'!$B$25:$I$66,8,FALSE))*C80/60)),"")</f>
        <v>6.7800772569444459E-2</v>
      </c>
      <c r="D97" s="340">
        <f>IFERROR((((VLOOKUP($B97,'Unit costs'!$B$25:$I$66,8,FALSE))*D80/60)),"")</f>
        <v>6.7800772569444459E-2</v>
      </c>
      <c r="E97" s="340">
        <f>IFERROR((((VLOOKUP($B97,'Unit costs'!$B$25:$I$66,8,FALSE))*E80/60)),"")</f>
        <v>6.7800772569444459E-2</v>
      </c>
      <c r="F97" s="340">
        <f>IFERROR((((VLOOKUP($B97,'Unit costs'!$B$25:$I$66,8,FALSE))*F80/60)),"")</f>
        <v>6.7800772569444459E-2</v>
      </c>
    </row>
    <row r="98" spans="2:13" x14ac:dyDescent="0.25">
      <c r="B98" s="10" t="str">
        <f t="shared" si="5"/>
        <v>(KEMRI) MR 8</v>
      </c>
      <c r="C98" s="340">
        <f>IFERROR((((VLOOKUP($B98,'Unit costs'!$B$25:$I$66,8,FALSE))*C81/60)),"")</f>
        <v>0</v>
      </c>
      <c r="D98" s="340">
        <f>IFERROR((((VLOOKUP($B98,'Unit costs'!$B$25:$I$66,8,FALSE))*D81/60)),"")</f>
        <v>0</v>
      </c>
      <c r="E98" s="340">
        <f>IFERROR((((VLOOKUP($B98,'Unit costs'!$B$25:$I$66,8,FALSE))*E81/60)),"")</f>
        <v>0</v>
      </c>
      <c r="F98" s="340">
        <f>IFERROR((((VLOOKUP($B98,'Unit costs'!$B$25:$I$66,8,FALSE))*F81/60)),"")</f>
        <v>0</v>
      </c>
    </row>
    <row r="99" spans="2:13" x14ac:dyDescent="0.25">
      <c r="B99" s="10" t="str">
        <f t="shared" si="5"/>
        <v>HC - General Physician</v>
      </c>
      <c r="C99" s="340">
        <f>IFERROR((((VLOOKUP($B99,'Unit costs'!$B$25:$I$66,8,FALSE))*C82/60)),"")</f>
        <v>0</v>
      </c>
      <c r="D99" s="340">
        <f>IFERROR((((VLOOKUP($B99,'Unit costs'!$B$25:$I$66,8,FALSE))*D82/60)),"")</f>
        <v>0</v>
      </c>
      <c r="E99" s="340">
        <f>IFERROR((((VLOOKUP($B99,'Unit costs'!$B$25:$I$66,8,FALSE))*E82/60)),"")</f>
        <v>0</v>
      </c>
      <c r="F99" s="340">
        <f>IFERROR((((VLOOKUP($B99,'Unit costs'!$B$25:$I$66,8,FALSE))*F82/60)),"")</f>
        <v>0</v>
      </c>
    </row>
    <row r="100" spans="2:13" x14ac:dyDescent="0.25">
      <c r="B100" s="10" t="str">
        <f t="shared" si="5"/>
        <v>(KEMRI) MR 10-Non MD</v>
      </c>
      <c r="C100" s="340">
        <f>IFERROR((((VLOOKUP($B100,'Unit costs'!$B$25:$I$66,8,FALSE))*C83/60)),"")</f>
        <v>0</v>
      </c>
      <c r="D100" s="340">
        <f>IFERROR((((VLOOKUP($B100,'Unit costs'!$B$25:$I$66,8,FALSE))*D83/60)),"")</f>
        <v>0</v>
      </c>
      <c r="E100" s="340">
        <f>IFERROR((((VLOOKUP($B100,'Unit costs'!$B$25:$I$66,8,FALSE))*E83/60)),"")</f>
        <v>0</v>
      </c>
      <c r="F100" s="340">
        <f>IFERROR((((VLOOKUP($B100,'Unit costs'!$B$25:$I$66,8,FALSE))*F83/60)),"")</f>
        <v>0</v>
      </c>
    </row>
    <row r="101" spans="2:13" x14ac:dyDescent="0.25">
      <c r="B101" s="10" t="str">
        <f t="shared" si="5"/>
        <v>(KEMRI) MR 13-Non MD</v>
      </c>
      <c r="C101" s="340">
        <f>IFERROR((((VLOOKUP($B101,'Unit costs'!$B$25:$I$66,8,FALSE))*C84/60)),"")</f>
        <v>0</v>
      </c>
      <c r="D101" s="340">
        <f>IFERROR((((VLOOKUP($B101,'Unit costs'!$B$25:$I$66,8,FALSE))*D84/60)),"")</f>
        <v>0</v>
      </c>
      <c r="E101" s="340">
        <f>IFERROR((((VLOOKUP($B101,'Unit costs'!$B$25:$I$66,8,FALSE))*E84/60)),"")</f>
        <v>0</v>
      </c>
      <c r="F101" s="340">
        <f>IFERROR((((VLOOKUP($B101,'Unit costs'!$B$25:$I$66,8,FALSE))*F84/60)),"")</f>
        <v>0</v>
      </c>
    </row>
    <row r="102" spans="2:13" x14ac:dyDescent="0.25">
      <c r="B102" s="10" t="str">
        <f t="shared" si="5"/>
        <v>Other personnel</v>
      </c>
      <c r="C102" s="340">
        <f>IFERROR((((VLOOKUP($B102,'Unit costs'!$B$25:$I$66,8,FALSE))*C85/60)),"")</f>
        <v>0</v>
      </c>
      <c r="D102" s="340">
        <f>IFERROR((((VLOOKUP($B102,'Unit costs'!$B$25:$I$66,8,FALSE))*D85/60)),"")</f>
        <v>0</v>
      </c>
      <c r="E102" s="340">
        <f>IFERROR((((VLOOKUP($B102,'Unit costs'!$B$25:$I$66,8,FALSE))*E85/60)),"")</f>
        <v>0</v>
      </c>
      <c r="F102" s="340">
        <f>IFERROR((((VLOOKUP($B102,'Unit costs'!$B$25:$I$66,8,FALSE))*F85/60)),"")</f>
        <v>0</v>
      </c>
    </row>
    <row r="103" spans="2:13" x14ac:dyDescent="0.25">
      <c r="B103" s="10" t="str">
        <f t="shared" si="5"/>
        <v>Other personnel</v>
      </c>
      <c r="C103" s="340">
        <f>IFERROR((((VLOOKUP($B103,'Unit costs'!$B$25:$I$66,8,FALSE))*C86/60)),"")</f>
        <v>0</v>
      </c>
      <c r="D103" s="340">
        <f>IFERROR((((VLOOKUP($B103,'Unit costs'!$B$25:$I$66,8,FALSE))*D86/60)),"")</f>
        <v>0</v>
      </c>
      <c r="E103" s="340">
        <f>IFERROR((((VLOOKUP($B103,'Unit costs'!$B$25:$I$66,8,FALSE))*E86/60)),"")</f>
        <v>0</v>
      </c>
      <c r="F103" s="340">
        <f>IFERROR((((VLOOKUP($B103,'Unit costs'!$B$25:$I$66,8,FALSE))*F86/60)),"")</f>
        <v>0</v>
      </c>
    </row>
    <row r="104" spans="2:13" x14ac:dyDescent="0.25">
      <c r="B104" s="10" t="str">
        <f t="shared" si="5"/>
        <v>Other personnel</v>
      </c>
      <c r="C104" s="340">
        <f>IFERROR((((VLOOKUP($B104,'Unit costs'!$B$25:$I$66,8,FALSE))*C87/60)),"")</f>
        <v>0</v>
      </c>
      <c r="D104" s="340">
        <f>IFERROR((((VLOOKUP($B104,'Unit costs'!$B$25:$I$66,8,FALSE))*D87/60)),"")</f>
        <v>0</v>
      </c>
      <c r="E104" s="340">
        <f>IFERROR((((VLOOKUP($B104,'Unit costs'!$B$25:$I$66,8,FALSE))*E87/60)),"")</f>
        <v>0</v>
      </c>
      <c r="F104" s="340">
        <f>IFERROR((((VLOOKUP($B104,'Unit costs'!$B$25:$I$66,8,FALSE))*F87/60)),"")</f>
        <v>0</v>
      </c>
    </row>
    <row r="105" spans="2:13" x14ac:dyDescent="0.25">
      <c r="B105" s="10" t="str">
        <f t="shared" si="5"/>
        <v>Other personnel</v>
      </c>
      <c r="C105" s="340">
        <f>IFERROR((((VLOOKUP($B105,'Unit costs'!$B$25:$I$66,8,FALSE))*C88/60)),"")</f>
        <v>0</v>
      </c>
      <c r="D105" s="340">
        <f>IFERROR((((VLOOKUP($B105,'Unit costs'!$B$25:$I$66,8,FALSE))*D88/60)),"")</f>
        <v>0</v>
      </c>
      <c r="E105" s="340">
        <f>IFERROR((((VLOOKUP($B105,'Unit costs'!$B$25:$I$66,8,FALSE))*E88/60)),"")</f>
        <v>0</v>
      </c>
      <c r="F105" s="340">
        <f>IFERROR((((VLOOKUP($B105,'Unit costs'!$B$25:$I$66,8,FALSE))*F88/60)),"")</f>
        <v>0</v>
      </c>
    </row>
    <row r="106" spans="2:13" x14ac:dyDescent="0.25">
      <c r="B106" s="10" t="str">
        <f t="shared" si="5"/>
        <v>Other personnel</v>
      </c>
      <c r="C106" s="340">
        <f>IFERROR((((VLOOKUP($B106,'Unit costs'!$B$25:$I$66,8,FALSE))*C89/60)),"")</f>
        <v>0</v>
      </c>
      <c r="D106" s="340">
        <f>IFERROR((((VLOOKUP($B106,'Unit costs'!$B$25:$I$66,8,FALSE))*D89/60)),"")</f>
        <v>0</v>
      </c>
      <c r="E106" s="340">
        <f>IFERROR((((VLOOKUP($B106,'Unit costs'!$B$25:$I$66,8,FALSE))*E89/60)),"")</f>
        <v>0</v>
      </c>
      <c r="F106" s="340">
        <f>IFERROR((((VLOOKUP($B106,'Unit costs'!$B$25:$I$66,8,FALSE))*F89/60)),"")</f>
        <v>0</v>
      </c>
    </row>
    <row r="107" spans="2:13" x14ac:dyDescent="0.25">
      <c r="B107" s="10" t="str">
        <f t="shared" si="5"/>
        <v>Other personnel</v>
      </c>
      <c r="C107" s="340">
        <f>IFERROR((((VLOOKUP($B107,'Unit costs'!$B$25:$I$66,8,FALSE))*C90/60)),"")</f>
        <v>0</v>
      </c>
      <c r="D107" s="340">
        <f>IFERROR((((VLOOKUP($B107,'Unit costs'!$B$25:$I$66,8,FALSE))*D90/60)),"")</f>
        <v>0</v>
      </c>
      <c r="E107" s="340">
        <f>IFERROR((((VLOOKUP($B107,'Unit costs'!$B$25:$I$66,8,FALSE))*E90/60)),"")</f>
        <v>0</v>
      </c>
      <c r="F107" s="340">
        <f>IFERROR((((VLOOKUP($B107,'Unit costs'!$B$25:$I$66,8,FALSE))*F90/60)),"")</f>
        <v>0</v>
      </c>
    </row>
    <row r="108" spans="2:13" x14ac:dyDescent="0.25">
      <c r="B108" s="10" t="str">
        <f t="shared" si="5"/>
        <v>Other personnel</v>
      </c>
      <c r="C108" s="340">
        <f>IFERROR((((VLOOKUP($B108,'Unit costs'!$B$25:$I$66,8,FALSE))*C91/60)),"")</f>
        <v>0</v>
      </c>
      <c r="D108" s="340">
        <f>IFERROR((((VLOOKUP($B108,'Unit costs'!$B$25:$I$66,8,FALSE))*D91/60)),"")</f>
        <v>0</v>
      </c>
      <c r="E108" s="340">
        <f>IFERROR((((VLOOKUP($B108,'Unit costs'!$B$25:$I$66,8,FALSE))*E91/60)),"")</f>
        <v>0</v>
      </c>
      <c r="F108" s="340">
        <f>IFERROR((((VLOOKUP($B108,'Unit costs'!$B$25:$I$66,8,FALSE))*F91/60)),"")</f>
        <v>0</v>
      </c>
    </row>
    <row r="109" spans="2:13" s="158" customFormat="1" x14ac:dyDescent="0.25">
      <c r="B109" s="207"/>
      <c r="C109" s="207"/>
      <c r="D109" s="207"/>
      <c r="E109" s="207"/>
      <c r="F109" s="207"/>
      <c r="G109" s="207"/>
      <c r="H109" s="207"/>
      <c r="I109" s="207"/>
      <c r="J109" s="207"/>
      <c r="K109" s="207"/>
      <c r="L109" s="207"/>
    </row>
    <row r="110" spans="2:13" ht="6.6" customHeight="1" x14ac:dyDescent="0.25"/>
    <row r="111" spans="2:13" ht="21" customHeight="1" x14ac:dyDescent="0.25">
      <c r="B111" s="444" t="s">
        <v>75</v>
      </c>
      <c r="C111" s="444"/>
      <c r="D111" s="444"/>
      <c r="E111" s="444"/>
      <c r="F111" s="444"/>
      <c r="G111" s="444"/>
      <c r="H111" s="444"/>
      <c r="I111" s="444"/>
      <c r="J111" s="444"/>
      <c r="K111" s="444"/>
      <c r="L111" s="444"/>
      <c r="M111" s="164"/>
    </row>
    <row r="112" spans="2:13" s="158" customFormat="1" ht="15.75" thickBot="1" x14ac:dyDescent="0.3">
      <c r="B112" s="174"/>
      <c r="C112" s="174"/>
      <c r="D112" s="174"/>
      <c r="E112" s="174"/>
      <c r="F112" s="174"/>
      <c r="G112" s="174"/>
      <c r="H112" s="174"/>
      <c r="I112" s="174"/>
      <c r="J112" s="112"/>
      <c r="K112" s="112"/>
      <c r="L112" s="112"/>
    </row>
    <row r="113" spans="2:12" s="158" customFormat="1" ht="45" customHeight="1" thickBot="1" x14ac:dyDescent="0.3">
      <c r="B113" s="139" t="s">
        <v>528</v>
      </c>
      <c r="C113" s="247" t="str">
        <f>'Set up'!B18</f>
        <v>Abbott M2000 RealTime</v>
      </c>
      <c r="D113" s="248" t="str">
        <f>'Set up'!B19</f>
        <v>Abbott M2000 RealTime</v>
      </c>
      <c r="E113" s="248" t="str">
        <f>'Set up'!B20</f>
        <v>Roche COBAS Ampliprep/TaqMan 48</v>
      </c>
      <c r="F113" s="409" t="str">
        <f>'Set up'!B21</f>
        <v>Roche COBAS Ampliprep/TaqMan 48</v>
      </c>
    </row>
    <row r="114" spans="2:12" s="158" customFormat="1" x14ac:dyDescent="0.25">
      <c r="B114" s="244" t="s">
        <v>76</v>
      </c>
      <c r="C114" s="172" t="s">
        <v>529</v>
      </c>
      <c r="D114" s="172"/>
      <c r="E114" s="172"/>
      <c r="F114" s="172"/>
    </row>
    <row r="115" spans="2:12" s="158" customFormat="1" x14ac:dyDescent="0.25">
      <c r="B115" s="184" t="s">
        <v>77</v>
      </c>
      <c r="C115" s="144"/>
      <c r="D115" s="144"/>
      <c r="E115" s="144"/>
      <c r="F115" s="144"/>
    </row>
    <row r="116" spans="2:12" s="158" customFormat="1" x14ac:dyDescent="0.25">
      <c r="B116" s="184" t="s">
        <v>78</v>
      </c>
      <c r="C116" s="144"/>
      <c r="D116" s="144"/>
      <c r="E116" s="144"/>
      <c r="F116" s="144"/>
    </row>
    <row r="117" spans="2:12" s="158" customFormat="1" x14ac:dyDescent="0.25">
      <c r="B117" s="184" t="s">
        <v>79</v>
      </c>
      <c r="C117" s="144"/>
      <c r="D117" s="144"/>
      <c r="E117" s="144"/>
      <c r="F117" s="144"/>
    </row>
    <row r="118" spans="2:12" s="158" customFormat="1" x14ac:dyDescent="0.25">
      <c r="B118" s="184" t="s">
        <v>80</v>
      </c>
      <c r="C118" s="144"/>
      <c r="D118" s="144"/>
      <c r="E118" s="144"/>
      <c r="F118" s="144"/>
    </row>
    <row r="119" spans="2:12" s="158" customFormat="1" x14ac:dyDescent="0.25">
      <c r="B119" s="184" t="s">
        <v>81</v>
      </c>
      <c r="C119" s="144"/>
      <c r="D119" s="144"/>
      <c r="E119" s="144"/>
      <c r="F119" s="144"/>
    </row>
    <row r="120" spans="2:12" s="158" customFormat="1" x14ac:dyDescent="0.25">
      <c r="B120" s="184" t="s">
        <v>82</v>
      </c>
      <c r="C120" s="144"/>
      <c r="D120" s="144"/>
      <c r="E120" s="144"/>
      <c r="F120" s="144"/>
    </row>
    <row r="121" spans="2:12" s="158" customFormat="1" x14ac:dyDescent="0.25">
      <c r="B121" s="184" t="s">
        <v>83</v>
      </c>
      <c r="C121" s="144"/>
      <c r="D121" s="144"/>
      <c r="E121" s="144"/>
      <c r="F121" s="144"/>
    </row>
    <row r="122" spans="2:12" s="158" customFormat="1" x14ac:dyDescent="0.25">
      <c r="B122" s="184" t="s">
        <v>84</v>
      </c>
      <c r="C122" s="144"/>
      <c r="D122" s="144"/>
      <c r="E122" s="144"/>
      <c r="F122" s="144"/>
    </row>
    <row r="123" spans="2:12" s="158" customFormat="1" x14ac:dyDescent="0.25">
      <c r="B123" s="184" t="s">
        <v>85</v>
      </c>
      <c r="C123" s="144"/>
      <c r="D123" s="144"/>
      <c r="E123" s="144"/>
      <c r="F123" s="144"/>
    </row>
    <row r="124" spans="2:12" s="158" customFormat="1" x14ac:dyDescent="0.25"/>
    <row r="125" spans="2:12" s="158" customFormat="1" x14ac:dyDescent="0.25">
      <c r="B125" s="120"/>
      <c r="C125" s="120"/>
      <c r="D125" s="120"/>
      <c r="E125" s="120"/>
      <c r="F125" s="120"/>
      <c r="G125" s="120"/>
      <c r="H125" s="120"/>
      <c r="I125" s="120"/>
      <c r="J125" s="120"/>
      <c r="K125" s="120"/>
      <c r="L125" s="120"/>
    </row>
    <row r="126" spans="2:12" x14ac:dyDescent="0.25">
      <c r="B126" s="210" t="s">
        <v>347</v>
      </c>
    </row>
    <row r="127" spans="2:12" x14ac:dyDescent="0.25">
      <c r="B127" s="120" t="s">
        <v>427</v>
      </c>
    </row>
    <row r="128" spans="2:12" x14ac:dyDescent="0.25">
      <c r="B128" s="120" t="s">
        <v>429</v>
      </c>
    </row>
    <row r="129" spans="2:2" x14ac:dyDescent="0.25">
      <c r="B129" s="120" t="s">
        <v>432</v>
      </c>
    </row>
  </sheetData>
  <sheetProtection password="C441" sheet="1" objects="1" scenarios="1"/>
  <mergeCells count="12">
    <mergeCell ref="B6:G6"/>
    <mergeCell ref="B1:D1"/>
    <mergeCell ref="E1:G1"/>
    <mergeCell ref="B2:D2"/>
    <mergeCell ref="B3:D3"/>
    <mergeCell ref="B4:D4"/>
    <mergeCell ref="B111:L111"/>
    <mergeCell ref="B13:O13"/>
    <mergeCell ref="B45:F45"/>
    <mergeCell ref="B75:L75"/>
    <mergeCell ref="H15:N15"/>
    <mergeCell ref="B73:L73"/>
  </mergeCells>
  <dataValidations count="2">
    <dataValidation type="list" allowBlank="1" showInputMessage="1" showErrorMessage="1" sqref="WVK983042:WVQ983042 IV16:JB16 SR16:SX16 ACN16:ACT16 AMJ16:AMP16 AWF16:AWL16 BGB16:BGH16 BPX16:BQD16 BZT16:BZZ16 CJP16:CJV16 CTL16:CTR16 DDH16:DDN16 DND16:DNJ16 DWZ16:DXF16 EGV16:EHB16 EQR16:EQX16 FAN16:FAT16 FKJ16:FKP16 FUF16:FUL16 GEB16:GEH16 GNX16:GOD16 GXT16:GXZ16 HHP16:HHV16 HRL16:HRR16 IBH16:IBN16 ILD16:ILJ16 IUZ16:IVF16 JEV16:JFB16 JOR16:JOX16 JYN16:JYT16 KIJ16:KIP16 KSF16:KSL16 LCB16:LCH16 LLX16:LMD16 LVT16:LVZ16 MFP16:MFV16 MPL16:MPR16 MZH16:MZN16 NJD16:NJJ16 NSZ16:NTF16 OCV16:ODB16 OMR16:OMX16 OWN16:OWT16 PGJ16:PGP16 PQF16:PQL16 QAB16:QAH16 QJX16:QKD16 QTT16:QTZ16 RDP16:RDV16 RNL16:RNR16 RXH16:RXN16 SHD16:SHJ16 SQZ16:SRF16 TAV16:TBB16 TKR16:TKX16 TUN16:TUT16 UEJ16:UEP16 UOF16:UOL16 UYB16:UYH16 VHX16:VID16 VRT16:VRZ16 WBP16:WBV16 WLL16:WLR16 WVH16:WVN16 C65537:I65537 IY65538:JE65538 SU65538:TA65538 ACQ65538:ACW65538 AMM65538:AMS65538 AWI65538:AWO65538 BGE65538:BGK65538 BQA65538:BQG65538 BZW65538:CAC65538 CJS65538:CJY65538 CTO65538:CTU65538 DDK65538:DDQ65538 DNG65538:DNM65538 DXC65538:DXI65538 EGY65538:EHE65538 EQU65538:ERA65538 FAQ65538:FAW65538 FKM65538:FKS65538 FUI65538:FUO65538 GEE65538:GEK65538 GOA65538:GOG65538 GXW65538:GYC65538 HHS65538:HHY65538 HRO65538:HRU65538 IBK65538:IBQ65538 ILG65538:ILM65538 IVC65538:IVI65538 JEY65538:JFE65538 JOU65538:JPA65538 JYQ65538:JYW65538 KIM65538:KIS65538 KSI65538:KSO65538 LCE65538:LCK65538 LMA65538:LMG65538 LVW65538:LWC65538 MFS65538:MFY65538 MPO65538:MPU65538 MZK65538:MZQ65538 NJG65538:NJM65538 NTC65538:NTI65538 OCY65538:ODE65538 OMU65538:ONA65538 OWQ65538:OWW65538 PGM65538:PGS65538 PQI65538:PQO65538 QAE65538:QAK65538 QKA65538:QKG65538 QTW65538:QUC65538 RDS65538:RDY65538 RNO65538:RNU65538 RXK65538:RXQ65538 SHG65538:SHM65538 SRC65538:SRI65538 TAY65538:TBE65538 TKU65538:TLA65538 TUQ65538:TUW65538 UEM65538:UES65538 UOI65538:UOO65538 UYE65538:UYK65538 VIA65538:VIG65538 VRW65538:VSC65538 WBS65538:WBY65538 WLO65538:WLU65538 WVK65538:WVQ65538 C131073:I131073 IY131074:JE131074 SU131074:TA131074 ACQ131074:ACW131074 AMM131074:AMS131074 AWI131074:AWO131074 BGE131074:BGK131074 BQA131074:BQG131074 BZW131074:CAC131074 CJS131074:CJY131074 CTO131074:CTU131074 DDK131074:DDQ131074 DNG131074:DNM131074 DXC131074:DXI131074 EGY131074:EHE131074 EQU131074:ERA131074 FAQ131074:FAW131074 FKM131074:FKS131074 FUI131074:FUO131074 GEE131074:GEK131074 GOA131074:GOG131074 GXW131074:GYC131074 HHS131074:HHY131074 HRO131074:HRU131074 IBK131074:IBQ131074 ILG131074:ILM131074 IVC131074:IVI131074 JEY131074:JFE131074 JOU131074:JPA131074 JYQ131074:JYW131074 KIM131074:KIS131074 KSI131074:KSO131074 LCE131074:LCK131074 LMA131074:LMG131074 LVW131074:LWC131074 MFS131074:MFY131074 MPO131074:MPU131074 MZK131074:MZQ131074 NJG131074:NJM131074 NTC131074:NTI131074 OCY131074:ODE131074 OMU131074:ONA131074 OWQ131074:OWW131074 PGM131074:PGS131074 PQI131074:PQO131074 QAE131074:QAK131074 QKA131074:QKG131074 QTW131074:QUC131074 RDS131074:RDY131074 RNO131074:RNU131074 RXK131074:RXQ131074 SHG131074:SHM131074 SRC131074:SRI131074 TAY131074:TBE131074 TKU131074:TLA131074 TUQ131074:TUW131074 UEM131074:UES131074 UOI131074:UOO131074 UYE131074:UYK131074 VIA131074:VIG131074 VRW131074:VSC131074 WBS131074:WBY131074 WLO131074:WLU131074 WVK131074:WVQ131074 C196609:I196609 IY196610:JE196610 SU196610:TA196610 ACQ196610:ACW196610 AMM196610:AMS196610 AWI196610:AWO196610 BGE196610:BGK196610 BQA196610:BQG196610 BZW196610:CAC196610 CJS196610:CJY196610 CTO196610:CTU196610 DDK196610:DDQ196610 DNG196610:DNM196610 DXC196610:DXI196610 EGY196610:EHE196610 EQU196610:ERA196610 FAQ196610:FAW196610 FKM196610:FKS196610 FUI196610:FUO196610 GEE196610:GEK196610 GOA196610:GOG196610 GXW196610:GYC196610 HHS196610:HHY196610 HRO196610:HRU196610 IBK196610:IBQ196610 ILG196610:ILM196610 IVC196610:IVI196610 JEY196610:JFE196610 JOU196610:JPA196610 JYQ196610:JYW196610 KIM196610:KIS196610 KSI196610:KSO196610 LCE196610:LCK196610 LMA196610:LMG196610 LVW196610:LWC196610 MFS196610:MFY196610 MPO196610:MPU196610 MZK196610:MZQ196610 NJG196610:NJM196610 NTC196610:NTI196610 OCY196610:ODE196610 OMU196610:ONA196610 OWQ196610:OWW196610 PGM196610:PGS196610 PQI196610:PQO196610 QAE196610:QAK196610 QKA196610:QKG196610 QTW196610:QUC196610 RDS196610:RDY196610 RNO196610:RNU196610 RXK196610:RXQ196610 SHG196610:SHM196610 SRC196610:SRI196610 TAY196610:TBE196610 TKU196610:TLA196610 TUQ196610:TUW196610 UEM196610:UES196610 UOI196610:UOO196610 UYE196610:UYK196610 VIA196610:VIG196610 VRW196610:VSC196610 WBS196610:WBY196610 WLO196610:WLU196610 WVK196610:WVQ196610 C262145:I262145 IY262146:JE262146 SU262146:TA262146 ACQ262146:ACW262146 AMM262146:AMS262146 AWI262146:AWO262146 BGE262146:BGK262146 BQA262146:BQG262146 BZW262146:CAC262146 CJS262146:CJY262146 CTO262146:CTU262146 DDK262146:DDQ262146 DNG262146:DNM262146 DXC262146:DXI262146 EGY262146:EHE262146 EQU262146:ERA262146 FAQ262146:FAW262146 FKM262146:FKS262146 FUI262146:FUO262146 GEE262146:GEK262146 GOA262146:GOG262146 GXW262146:GYC262146 HHS262146:HHY262146 HRO262146:HRU262146 IBK262146:IBQ262146 ILG262146:ILM262146 IVC262146:IVI262146 JEY262146:JFE262146 JOU262146:JPA262146 JYQ262146:JYW262146 KIM262146:KIS262146 KSI262146:KSO262146 LCE262146:LCK262146 LMA262146:LMG262146 LVW262146:LWC262146 MFS262146:MFY262146 MPO262146:MPU262146 MZK262146:MZQ262146 NJG262146:NJM262146 NTC262146:NTI262146 OCY262146:ODE262146 OMU262146:ONA262146 OWQ262146:OWW262146 PGM262146:PGS262146 PQI262146:PQO262146 QAE262146:QAK262146 QKA262146:QKG262146 QTW262146:QUC262146 RDS262146:RDY262146 RNO262146:RNU262146 RXK262146:RXQ262146 SHG262146:SHM262146 SRC262146:SRI262146 TAY262146:TBE262146 TKU262146:TLA262146 TUQ262146:TUW262146 UEM262146:UES262146 UOI262146:UOO262146 UYE262146:UYK262146 VIA262146:VIG262146 VRW262146:VSC262146 WBS262146:WBY262146 WLO262146:WLU262146 WVK262146:WVQ262146 C327681:I327681 IY327682:JE327682 SU327682:TA327682 ACQ327682:ACW327682 AMM327682:AMS327682 AWI327682:AWO327682 BGE327682:BGK327682 BQA327682:BQG327682 BZW327682:CAC327682 CJS327682:CJY327682 CTO327682:CTU327682 DDK327682:DDQ327682 DNG327682:DNM327682 DXC327682:DXI327682 EGY327682:EHE327682 EQU327682:ERA327682 FAQ327682:FAW327682 FKM327682:FKS327682 FUI327682:FUO327682 GEE327682:GEK327682 GOA327682:GOG327682 GXW327682:GYC327682 HHS327682:HHY327682 HRO327682:HRU327682 IBK327682:IBQ327682 ILG327682:ILM327682 IVC327682:IVI327682 JEY327682:JFE327682 JOU327682:JPA327682 JYQ327682:JYW327682 KIM327682:KIS327682 KSI327682:KSO327682 LCE327682:LCK327682 LMA327682:LMG327682 LVW327682:LWC327682 MFS327682:MFY327682 MPO327682:MPU327682 MZK327682:MZQ327682 NJG327682:NJM327682 NTC327682:NTI327682 OCY327682:ODE327682 OMU327682:ONA327682 OWQ327682:OWW327682 PGM327682:PGS327682 PQI327682:PQO327682 QAE327682:QAK327682 QKA327682:QKG327682 QTW327682:QUC327682 RDS327682:RDY327682 RNO327682:RNU327682 RXK327682:RXQ327682 SHG327682:SHM327682 SRC327682:SRI327682 TAY327682:TBE327682 TKU327682:TLA327682 TUQ327682:TUW327682 UEM327682:UES327682 UOI327682:UOO327682 UYE327682:UYK327682 VIA327682:VIG327682 VRW327682:VSC327682 WBS327682:WBY327682 WLO327682:WLU327682 WVK327682:WVQ327682 C393217:I393217 IY393218:JE393218 SU393218:TA393218 ACQ393218:ACW393218 AMM393218:AMS393218 AWI393218:AWO393218 BGE393218:BGK393218 BQA393218:BQG393218 BZW393218:CAC393218 CJS393218:CJY393218 CTO393218:CTU393218 DDK393218:DDQ393218 DNG393218:DNM393218 DXC393218:DXI393218 EGY393218:EHE393218 EQU393218:ERA393218 FAQ393218:FAW393218 FKM393218:FKS393218 FUI393218:FUO393218 GEE393218:GEK393218 GOA393218:GOG393218 GXW393218:GYC393218 HHS393218:HHY393218 HRO393218:HRU393218 IBK393218:IBQ393218 ILG393218:ILM393218 IVC393218:IVI393218 JEY393218:JFE393218 JOU393218:JPA393218 JYQ393218:JYW393218 KIM393218:KIS393218 KSI393218:KSO393218 LCE393218:LCK393218 LMA393218:LMG393218 LVW393218:LWC393218 MFS393218:MFY393218 MPO393218:MPU393218 MZK393218:MZQ393218 NJG393218:NJM393218 NTC393218:NTI393218 OCY393218:ODE393218 OMU393218:ONA393218 OWQ393218:OWW393218 PGM393218:PGS393218 PQI393218:PQO393218 QAE393218:QAK393218 QKA393218:QKG393218 QTW393218:QUC393218 RDS393218:RDY393218 RNO393218:RNU393218 RXK393218:RXQ393218 SHG393218:SHM393218 SRC393218:SRI393218 TAY393218:TBE393218 TKU393218:TLA393218 TUQ393218:TUW393218 UEM393218:UES393218 UOI393218:UOO393218 UYE393218:UYK393218 VIA393218:VIG393218 VRW393218:VSC393218 WBS393218:WBY393218 WLO393218:WLU393218 WVK393218:WVQ393218 C458753:I458753 IY458754:JE458754 SU458754:TA458754 ACQ458754:ACW458754 AMM458754:AMS458754 AWI458754:AWO458754 BGE458754:BGK458754 BQA458754:BQG458754 BZW458754:CAC458754 CJS458754:CJY458754 CTO458754:CTU458754 DDK458754:DDQ458754 DNG458754:DNM458754 DXC458754:DXI458754 EGY458754:EHE458754 EQU458754:ERA458754 FAQ458754:FAW458754 FKM458754:FKS458754 FUI458754:FUO458754 GEE458754:GEK458754 GOA458754:GOG458754 GXW458754:GYC458754 HHS458754:HHY458754 HRO458754:HRU458754 IBK458754:IBQ458754 ILG458754:ILM458754 IVC458754:IVI458754 JEY458754:JFE458754 JOU458754:JPA458754 JYQ458754:JYW458754 KIM458754:KIS458754 KSI458754:KSO458754 LCE458754:LCK458754 LMA458754:LMG458754 LVW458754:LWC458754 MFS458754:MFY458754 MPO458754:MPU458754 MZK458754:MZQ458754 NJG458754:NJM458754 NTC458754:NTI458754 OCY458754:ODE458754 OMU458754:ONA458754 OWQ458754:OWW458754 PGM458754:PGS458754 PQI458754:PQO458754 QAE458754:QAK458754 QKA458754:QKG458754 QTW458754:QUC458754 RDS458754:RDY458754 RNO458754:RNU458754 RXK458754:RXQ458754 SHG458754:SHM458754 SRC458754:SRI458754 TAY458754:TBE458754 TKU458754:TLA458754 TUQ458754:TUW458754 UEM458754:UES458754 UOI458754:UOO458754 UYE458754:UYK458754 VIA458754:VIG458754 VRW458754:VSC458754 WBS458754:WBY458754 WLO458754:WLU458754 WVK458754:WVQ458754 C524289:I524289 IY524290:JE524290 SU524290:TA524290 ACQ524290:ACW524290 AMM524290:AMS524290 AWI524290:AWO524290 BGE524290:BGK524290 BQA524290:BQG524290 BZW524290:CAC524290 CJS524290:CJY524290 CTO524290:CTU524290 DDK524290:DDQ524290 DNG524290:DNM524290 DXC524290:DXI524290 EGY524290:EHE524290 EQU524290:ERA524290 FAQ524290:FAW524290 FKM524290:FKS524290 FUI524290:FUO524290 GEE524290:GEK524290 GOA524290:GOG524290 GXW524290:GYC524290 HHS524290:HHY524290 HRO524290:HRU524290 IBK524290:IBQ524290 ILG524290:ILM524290 IVC524290:IVI524290 JEY524290:JFE524290 JOU524290:JPA524290 JYQ524290:JYW524290 KIM524290:KIS524290 KSI524290:KSO524290 LCE524290:LCK524290 LMA524290:LMG524290 LVW524290:LWC524290 MFS524290:MFY524290 MPO524290:MPU524290 MZK524290:MZQ524290 NJG524290:NJM524290 NTC524290:NTI524290 OCY524290:ODE524290 OMU524290:ONA524290 OWQ524290:OWW524290 PGM524290:PGS524290 PQI524290:PQO524290 QAE524290:QAK524290 QKA524290:QKG524290 QTW524290:QUC524290 RDS524290:RDY524290 RNO524290:RNU524290 RXK524290:RXQ524290 SHG524290:SHM524290 SRC524290:SRI524290 TAY524290:TBE524290 TKU524290:TLA524290 TUQ524290:TUW524290 UEM524290:UES524290 UOI524290:UOO524290 UYE524290:UYK524290 VIA524290:VIG524290 VRW524290:VSC524290 WBS524290:WBY524290 WLO524290:WLU524290 WVK524290:WVQ524290 C589825:I589825 IY589826:JE589826 SU589826:TA589826 ACQ589826:ACW589826 AMM589826:AMS589826 AWI589826:AWO589826 BGE589826:BGK589826 BQA589826:BQG589826 BZW589826:CAC589826 CJS589826:CJY589826 CTO589826:CTU589826 DDK589826:DDQ589826 DNG589826:DNM589826 DXC589826:DXI589826 EGY589826:EHE589826 EQU589826:ERA589826 FAQ589826:FAW589826 FKM589826:FKS589826 FUI589826:FUO589826 GEE589826:GEK589826 GOA589826:GOG589826 GXW589826:GYC589826 HHS589826:HHY589826 HRO589826:HRU589826 IBK589826:IBQ589826 ILG589826:ILM589826 IVC589826:IVI589826 JEY589826:JFE589826 JOU589826:JPA589826 JYQ589826:JYW589826 KIM589826:KIS589826 KSI589826:KSO589826 LCE589826:LCK589826 LMA589826:LMG589826 LVW589826:LWC589826 MFS589826:MFY589826 MPO589826:MPU589826 MZK589826:MZQ589826 NJG589826:NJM589826 NTC589826:NTI589826 OCY589826:ODE589826 OMU589826:ONA589826 OWQ589826:OWW589826 PGM589826:PGS589826 PQI589826:PQO589826 QAE589826:QAK589826 QKA589826:QKG589826 QTW589826:QUC589826 RDS589826:RDY589826 RNO589826:RNU589826 RXK589826:RXQ589826 SHG589826:SHM589826 SRC589826:SRI589826 TAY589826:TBE589826 TKU589826:TLA589826 TUQ589826:TUW589826 UEM589826:UES589826 UOI589826:UOO589826 UYE589826:UYK589826 VIA589826:VIG589826 VRW589826:VSC589826 WBS589826:WBY589826 WLO589826:WLU589826 WVK589826:WVQ589826 C655361:I655361 IY655362:JE655362 SU655362:TA655362 ACQ655362:ACW655362 AMM655362:AMS655362 AWI655362:AWO655362 BGE655362:BGK655362 BQA655362:BQG655362 BZW655362:CAC655362 CJS655362:CJY655362 CTO655362:CTU655362 DDK655362:DDQ655362 DNG655362:DNM655362 DXC655362:DXI655362 EGY655362:EHE655362 EQU655362:ERA655362 FAQ655362:FAW655362 FKM655362:FKS655362 FUI655362:FUO655362 GEE655362:GEK655362 GOA655362:GOG655362 GXW655362:GYC655362 HHS655362:HHY655362 HRO655362:HRU655362 IBK655362:IBQ655362 ILG655362:ILM655362 IVC655362:IVI655362 JEY655362:JFE655362 JOU655362:JPA655362 JYQ655362:JYW655362 KIM655362:KIS655362 KSI655362:KSO655362 LCE655362:LCK655362 LMA655362:LMG655362 LVW655362:LWC655362 MFS655362:MFY655362 MPO655362:MPU655362 MZK655362:MZQ655362 NJG655362:NJM655362 NTC655362:NTI655362 OCY655362:ODE655362 OMU655362:ONA655362 OWQ655362:OWW655362 PGM655362:PGS655362 PQI655362:PQO655362 QAE655362:QAK655362 QKA655362:QKG655362 QTW655362:QUC655362 RDS655362:RDY655362 RNO655362:RNU655362 RXK655362:RXQ655362 SHG655362:SHM655362 SRC655362:SRI655362 TAY655362:TBE655362 TKU655362:TLA655362 TUQ655362:TUW655362 UEM655362:UES655362 UOI655362:UOO655362 UYE655362:UYK655362 VIA655362:VIG655362 VRW655362:VSC655362 WBS655362:WBY655362 WLO655362:WLU655362 WVK655362:WVQ655362 C720897:I720897 IY720898:JE720898 SU720898:TA720898 ACQ720898:ACW720898 AMM720898:AMS720898 AWI720898:AWO720898 BGE720898:BGK720898 BQA720898:BQG720898 BZW720898:CAC720898 CJS720898:CJY720898 CTO720898:CTU720898 DDK720898:DDQ720898 DNG720898:DNM720898 DXC720898:DXI720898 EGY720898:EHE720898 EQU720898:ERA720898 FAQ720898:FAW720898 FKM720898:FKS720898 FUI720898:FUO720898 GEE720898:GEK720898 GOA720898:GOG720898 GXW720898:GYC720898 HHS720898:HHY720898 HRO720898:HRU720898 IBK720898:IBQ720898 ILG720898:ILM720898 IVC720898:IVI720898 JEY720898:JFE720898 JOU720898:JPA720898 JYQ720898:JYW720898 KIM720898:KIS720898 KSI720898:KSO720898 LCE720898:LCK720898 LMA720898:LMG720898 LVW720898:LWC720898 MFS720898:MFY720898 MPO720898:MPU720898 MZK720898:MZQ720898 NJG720898:NJM720898 NTC720898:NTI720898 OCY720898:ODE720898 OMU720898:ONA720898 OWQ720898:OWW720898 PGM720898:PGS720898 PQI720898:PQO720898 QAE720898:QAK720898 QKA720898:QKG720898 QTW720898:QUC720898 RDS720898:RDY720898 RNO720898:RNU720898 RXK720898:RXQ720898 SHG720898:SHM720898 SRC720898:SRI720898 TAY720898:TBE720898 TKU720898:TLA720898 TUQ720898:TUW720898 UEM720898:UES720898 UOI720898:UOO720898 UYE720898:UYK720898 VIA720898:VIG720898 VRW720898:VSC720898 WBS720898:WBY720898 WLO720898:WLU720898 WVK720898:WVQ720898 C786433:I786433 IY786434:JE786434 SU786434:TA786434 ACQ786434:ACW786434 AMM786434:AMS786434 AWI786434:AWO786434 BGE786434:BGK786434 BQA786434:BQG786434 BZW786434:CAC786434 CJS786434:CJY786434 CTO786434:CTU786434 DDK786434:DDQ786434 DNG786434:DNM786434 DXC786434:DXI786434 EGY786434:EHE786434 EQU786434:ERA786434 FAQ786434:FAW786434 FKM786434:FKS786434 FUI786434:FUO786434 GEE786434:GEK786434 GOA786434:GOG786434 GXW786434:GYC786434 HHS786434:HHY786434 HRO786434:HRU786434 IBK786434:IBQ786434 ILG786434:ILM786434 IVC786434:IVI786434 JEY786434:JFE786434 JOU786434:JPA786434 JYQ786434:JYW786434 KIM786434:KIS786434 KSI786434:KSO786434 LCE786434:LCK786434 LMA786434:LMG786434 LVW786434:LWC786434 MFS786434:MFY786434 MPO786434:MPU786434 MZK786434:MZQ786434 NJG786434:NJM786434 NTC786434:NTI786434 OCY786434:ODE786434 OMU786434:ONA786434 OWQ786434:OWW786434 PGM786434:PGS786434 PQI786434:PQO786434 QAE786434:QAK786434 QKA786434:QKG786434 QTW786434:QUC786434 RDS786434:RDY786434 RNO786434:RNU786434 RXK786434:RXQ786434 SHG786434:SHM786434 SRC786434:SRI786434 TAY786434:TBE786434 TKU786434:TLA786434 TUQ786434:TUW786434 UEM786434:UES786434 UOI786434:UOO786434 UYE786434:UYK786434 VIA786434:VIG786434 VRW786434:VSC786434 WBS786434:WBY786434 WLO786434:WLU786434 WVK786434:WVQ786434 C851969:I851969 IY851970:JE851970 SU851970:TA851970 ACQ851970:ACW851970 AMM851970:AMS851970 AWI851970:AWO851970 BGE851970:BGK851970 BQA851970:BQG851970 BZW851970:CAC851970 CJS851970:CJY851970 CTO851970:CTU851970 DDK851970:DDQ851970 DNG851970:DNM851970 DXC851970:DXI851970 EGY851970:EHE851970 EQU851970:ERA851970 FAQ851970:FAW851970 FKM851970:FKS851970 FUI851970:FUO851970 GEE851970:GEK851970 GOA851970:GOG851970 GXW851970:GYC851970 HHS851970:HHY851970 HRO851970:HRU851970 IBK851970:IBQ851970 ILG851970:ILM851970 IVC851970:IVI851970 JEY851970:JFE851970 JOU851970:JPA851970 JYQ851970:JYW851970 KIM851970:KIS851970 KSI851970:KSO851970 LCE851970:LCK851970 LMA851970:LMG851970 LVW851970:LWC851970 MFS851970:MFY851970 MPO851970:MPU851970 MZK851970:MZQ851970 NJG851970:NJM851970 NTC851970:NTI851970 OCY851970:ODE851970 OMU851970:ONA851970 OWQ851970:OWW851970 PGM851970:PGS851970 PQI851970:PQO851970 QAE851970:QAK851970 QKA851970:QKG851970 QTW851970:QUC851970 RDS851970:RDY851970 RNO851970:RNU851970 RXK851970:RXQ851970 SHG851970:SHM851970 SRC851970:SRI851970 TAY851970:TBE851970 TKU851970:TLA851970 TUQ851970:TUW851970 UEM851970:UES851970 UOI851970:UOO851970 UYE851970:UYK851970 VIA851970:VIG851970 VRW851970:VSC851970 WBS851970:WBY851970 WLO851970:WLU851970 WVK851970:WVQ851970 C917505:I917505 IY917506:JE917506 SU917506:TA917506 ACQ917506:ACW917506 AMM917506:AMS917506 AWI917506:AWO917506 BGE917506:BGK917506 BQA917506:BQG917506 BZW917506:CAC917506 CJS917506:CJY917506 CTO917506:CTU917506 DDK917506:DDQ917506 DNG917506:DNM917506 DXC917506:DXI917506 EGY917506:EHE917506 EQU917506:ERA917506 FAQ917506:FAW917506 FKM917506:FKS917506 FUI917506:FUO917506 GEE917506:GEK917506 GOA917506:GOG917506 GXW917506:GYC917506 HHS917506:HHY917506 HRO917506:HRU917506 IBK917506:IBQ917506 ILG917506:ILM917506 IVC917506:IVI917506 JEY917506:JFE917506 JOU917506:JPA917506 JYQ917506:JYW917506 KIM917506:KIS917506 KSI917506:KSO917506 LCE917506:LCK917506 LMA917506:LMG917506 LVW917506:LWC917506 MFS917506:MFY917506 MPO917506:MPU917506 MZK917506:MZQ917506 NJG917506:NJM917506 NTC917506:NTI917506 OCY917506:ODE917506 OMU917506:ONA917506 OWQ917506:OWW917506 PGM917506:PGS917506 PQI917506:PQO917506 QAE917506:QAK917506 QKA917506:QKG917506 QTW917506:QUC917506 RDS917506:RDY917506 RNO917506:RNU917506 RXK917506:RXQ917506 SHG917506:SHM917506 SRC917506:SRI917506 TAY917506:TBE917506 TKU917506:TLA917506 TUQ917506:TUW917506 UEM917506:UES917506 UOI917506:UOO917506 UYE917506:UYK917506 VIA917506:VIG917506 VRW917506:VSC917506 WBS917506:WBY917506 WLO917506:WLU917506 WVK917506:WVQ917506 C983041:I983041 IY983042:JE983042 SU983042:TA983042 ACQ983042:ACW983042 AMM983042:AMS983042 AWI983042:AWO983042 BGE983042:BGK983042 BQA983042:BQG983042 BZW983042:CAC983042 CJS983042:CJY983042 CTO983042:CTU983042 DDK983042:DDQ983042 DNG983042:DNM983042 DXC983042:DXI983042 EGY983042:EHE983042 EQU983042:ERA983042 FAQ983042:FAW983042 FKM983042:FKS983042 FUI983042:FUO983042 GEE983042:GEK983042 GOA983042:GOG983042 GXW983042:GYC983042 HHS983042:HHY983042 HRO983042:HRU983042 IBK983042:IBQ983042 ILG983042:ILM983042 IVC983042:IVI983042 JEY983042:JFE983042 JOU983042:JPA983042 JYQ983042:JYW983042 KIM983042:KIS983042 KSI983042:KSO983042 LCE983042:LCK983042 LMA983042:LMG983042 LVW983042:LWC983042 MFS983042:MFY983042 MPO983042:MPU983042 MZK983042:MZQ983042 NJG983042:NJM983042 NTC983042:NTI983042 OCY983042:ODE983042 OMU983042:ONA983042 OWQ983042:OWW983042 PGM983042:PGS983042 PQI983042:PQO983042 QAE983042:QAK983042 QKA983042:QKG983042 QTW983042:QUC983042 RDS983042:RDY983042 RNO983042:RNU983042 RXK983042:RXQ983042 SHG983042:SHM983042 SRC983042:SRI983042 TAY983042:TBE983042 TKU983042:TLA983042 TUQ983042:TUW983042 UEM983042:UES983042 UOI983042:UOO983042 UYE983042:UYK983042 VIA983042:VIG983042 VRW983042:VSC983042 WBS983042:WBY983042 WLO983042:WLU983042">
      <formula1>Visit_types</formula1>
    </dataValidation>
    <dataValidation type="list" allowBlank="1" showInputMessage="1" showErrorMessage="1" sqref="WVR983042 C65575:I65575 IY65576:JE65576 SU65576:TA65576 ACQ65576:ACW65576 AMM65576:AMS65576 AWI65576:AWO65576 BGE65576:BGK65576 BQA65576:BQG65576 BZW65576:CAC65576 CJS65576:CJY65576 CTO65576:CTU65576 DDK65576:DDQ65576 DNG65576:DNM65576 DXC65576:DXI65576 EGY65576:EHE65576 EQU65576:ERA65576 FAQ65576:FAW65576 FKM65576:FKS65576 FUI65576:FUO65576 GEE65576:GEK65576 GOA65576:GOG65576 GXW65576:GYC65576 HHS65576:HHY65576 HRO65576:HRU65576 IBK65576:IBQ65576 ILG65576:ILM65576 IVC65576:IVI65576 JEY65576:JFE65576 JOU65576:JPA65576 JYQ65576:JYW65576 KIM65576:KIS65576 KSI65576:KSO65576 LCE65576:LCK65576 LMA65576:LMG65576 LVW65576:LWC65576 MFS65576:MFY65576 MPO65576:MPU65576 MZK65576:MZQ65576 NJG65576:NJM65576 NTC65576:NTI65576 OCY65576:ODE65576 OMU65576:ONA65576 OWQ65576:OWW65576 PGM65576:PGS65576 PQI65576:PQO65576 QAE65576:QAK65576 QKA65576:QKG65576 QTW65576:QUC65576 RDS65576:RDY65576 RNO65576:RNU65576 RXK65576:RXQ65576 SHG65576:SHM65576 SRC65576:SRI65576 TAY65576:TBE65576 TKU65576:TLA65576 TUQ65576:TUW65576 UEM65576:UES65576 UOI65576:UOO65576 UYE65576:UYK65576 VIA65576:VIG65576 VRW65576:VSC65576 WBS65576:WBY65576 WLO65576:WLU65576 WVK65576:WVQ65576 C131111:I131111 IY131112:JE131112 SU131112:TA131112 ACQ131112:ACW131112 AMM131112:AMS131112 AWI131112:AWO131112 BGE131112:BGK131112 BQA131112:BQG131112 BZW131112:CAC131112 CJS131112:CJY131112 CTO131112:CTU131112 DDK131112:DDQ131112 DNG131112:DNM131112 DXC131112:DXI131112 EGY131112:EHE131112 EQU131112:ERA131112 FAQ131112:FAW131112 FKM131112:FKS131112 FUI131112:FUO131112 GEE131112:GEK131112 GOA131112:GOG131112 GXW131112:GYC131112 HHS131112:HHY131112 HRO131112:HRU131112 IBK131112:IBQ131112 ILG131112:ILM131112 IVC131112:IVI131112 JEY131112:JFE131112 JOU131112:JPA131112 JYQ131112:JYW131112 KIM131112:KIS131112 KSI131112:KSO131112 LCE131112:LCK131112 LMA131112:LMG131112 LVW131112:LWC131112 MFS131112:MFY131112 MPO131112:MPU131112 MZK131112:MZQ131112 NJG131112:NJM131112 NTC131112:NTI131112 OCY131112:ODE131112 OMU131112:ONA131112 OWQ131112:OWW131112 PGM131112:PGS131112 PQI131112:PQO131112 QAE131112:QAK131112 QKA131112:QKG131112 QTW131112:QUC131112 RDS131112:RDY131112 RNO131112:RNU131112 RXK131112:RXQ131112 SHG131112:SHM131112 SRC131112:SRI131112 TAY131112:TBE131112 TKU131112:TLA131112 TUQ131112:TUW131112 UEM131112:UES131112 UOI131112:UOO131112 UYE131112:UYK131112 VIA131112:VIG131112 VRW131112:VSC131112 WBS131112:WBY131112 WLO131112:WLU131112 WVK131112:WVQ131112 C196647:I196647 IY196648:JE196648 SU196648:TA196648 ACQ196648:ACW196648 AMM196648:AMS196648 AWI196648:AWO196648 BGE196648:BGK196648 BQA196648:BQG196648 BZW196648:CAC196648 CJS196648:CJY196648 CTO196648:CTU196648 DDK196648:DDQ196648 DNG196648:DNM196648 DXC196648:DXI196648 EGY196648:EHE196648 EQU196648:ERA196648 FAQ196648:FAW196648 FKM196648:FKS196648 FUI196648:FUO196648 GEE196648:GEK196648 GOA196648:GOG196648 GXW196648:GYC196648 HHS196648:HHY196648 HRO196648:HRU196648 IBK196648:IBQ196648 ILG196648:ILM196648 IVC196648:IVI196648 JEY196648:JFE196648 JOU196648:JPA196648 JYQ196648:JYW196648 KIM196648:KIS196648 KSI196648:KSO196648 LCE196648:LCK196648 LMA196648:LMG196648 LVW196648:LWC196648 MFS196648:MFY196648 MPO196648:MPU196648 MZK196648:MZQ196648 NJG196648:NJM196648 NTC196648:NTI196648 OCY196648:ODE196648 OMU196648:ONA196648 OWQ196648:OWW196648 PGM196648:PGS196648 PQI196648:PQO196648 QAE196648:QAK196648 QKA196648:QKG196648 QTW196648:QUC196648 RDS196648:RDY196648 RNO196648:RNU196648 RXK196648:RXQ196648 SHG196648:SHM196648 SRC196648:SRI196648 TAY196648:TBE196648 TKU196648:TLA196648 TUQ196648:TUW196648 UEM196648:UES196648 UOI196648:UOO196648 UYE196648:UYK196648 VIA196648:VIG196648 VRW196648:VSC196648 WBS196648:WBY196648 WLO196648:WLU196648 WVK196648:WVQ196648 C262183:I262183 IY262184:JE262184 SU262184:TA262184 ACQ262184:ACW262184 AMM262184:AMS262184 AWI262184:AWO262184 BGE262184:BGK262184 BQA262184:BQG262184 BZW262184:CAC262184 CJS262184:CJY262184 CTO262184:CTU262184 DDK262184:DDQ262184 DNG262184:DNM262184 DXC262184:DXI262184 EGY262184:EHE262184 EQU262184:ERA262184 FAQ262184:FAW262184 FKM262184:FKS262184 FUI262184:FUO262184 GEE262184:GEK262184 GOA262184:GOG262184 GXW262184:GYC262184 HHS262184:HHY262184 HRO262184:HRU262184 IBK262184:IBQ262184 ILG262184:ILM262184 IVC262184:IVI262184 JEY262184:JFE262184 JOU262184:JPA262184 JYQ262184:JYW262184 KIM262184:KIS262184 KSI262184:KSO262184 LCE262184:LCK262184 LMA262184:LMG262184 LVW262184:LWC262184 MFS262184:MFY262184 MPO262184:MPU262184 MZK262184:MZQ262184 NJG262184:NJM262184 NTC262184:NTI262184 OCY262184:ODE262184 OMU262184:ONA262184 OWQ262184:OWW262184 PGM262184:PGS262184 PQI262184:PQO262184 QAE262184:QAK262184 QKA262184:QKG262184 QTW262184:QUC262184 RDS262184:RDY262184 RNO262184:RNU262184 RXK262184:RXQ262184 SHG262184:SHM262184 SRC262184:SRI262184 TAY262184:TBE262184 TKU262184:TLA262184 TUQ262184:TUW262184 UEM262184:UES262184 UOI262184:UOO262184 UYE262184:UYK262184 VIA262184:VIG262184 VRW262184:VSC262184 WBS262184:WBY262184 WLO262184:WLU262184 WVK262184:WVQ262184 C327719:I327719 IY327720:JE327720 SU327720:TA327720 ACQ327720:ACW327720 AMM327720:AMS327720 AWI327720:AWO327720 BGE327720:BGK327720 BQA327720:BQG327720 BZW327720:CAC327720 CJS327720:CJY327720 CTO327720:CTU327720 DDK327720:DDQ327720 DNG327720:DNM327720 DXC327720:DXI327720 EGY327720:EHE327720 EQU327720:ERA327720 FAQ327720:FAW327720 FKM327720:FKS327720 FUI327720:FUO327720 GEE327720:GEK327720 GOA327720:GOG327720 GXW327720:GYC327720 HHS327720:HHY327720 HRO327720:HRU327720 IBK327720:IBQ327720 ILG327720:ILM327720 IVC327720:IVI327720 JEY327720:JFE327720 JOU327720:JPA327720 JYQ327720:JYW327720 KIM327720:KIS327720 KSI327720:KSO327720 LCE327720:LCK327720 LMA327720:LMG327720 LVW327720:LWC327720 MFS327720:MFY327720 MPO327720:MPU327720 MZK327720:MZQ327720 NJG327720:NJM327720 NTC327720:NTI327720 OCY327720:ODE327720 OMU327720:ONA327720 OWQ327720:OWW327720 PGM327720:PGS327720 PQI327720:PQO327720 QAE327720:QAK327720 QKA327720:QKG327720 QTW327720:QUC327720 RDS327720:RDY327720 RNO327720:RNU327720 RXK327720:RXQ327720 SHG327720:SHM327720 SRC327720:SRI327720 TAY327720:TBE327720 TKU327720:TLA327720 TUQ327720:TUW327720 UEM327720:UES327720 UOI327720:UOO327720 UYE327720:UYK327720 VIA327720:VIG327720 VRW327720:VSC327720 WBS327720:WBY327720 WLO327720:WLU327720 WVK327720:WVQ327720 C393255:I393255 IY393256:JE393256 SU393256:TA393256 ACQ393256:ACW393256 AMM393256:AMS393256 AWI393256:AWO393256 BGE393256:BGK393256 BQA393256:BQG393256 BZW393256:CAC393256 CJS393256:CJY393256 CTO393256:CTU393256 DDK393256:DDQ393256 DNG393256:DNM393256 DXC393256:DXI393256 EGY393256:EHE393256 EQU393256:ERA393256 FAQ393256:FAW393256 FKM393256:FKS393256 FUI393256:FUO393256 GEE393256:GEK393256 GOA393256:GOG393256 GXW393256:GYC393256 HHS393256:HHY393256 HRO393256:HRU393256 IBK393256:IBQ393256 ILG393256:ILM393256 IVC393256:IVI393256 JEY393256:JFE393256 JOU393256:JPA393256 JYQ393256:JYW393256 KIM393256:KIS393256 KSI393256:KSO393256 LCE393256:LCK393256 LMA393256:LMG393256 LVW393256:LWC393256 MFS393256:MFY393256 MPO393256:MPU393256 MZK393256:MZQ393256 NJG393256:NJM393256 NTC393256:NTI393256 OCY393256:ODE393256 OMU393256:ONA393256 OWQ393256:OWW393256 PGM393256:PGS393256 PQI393256:PQO393256 QAE393256:QAK393256 QKA393256:QKG393256 QTW393256:QUC393256 RDS393256:RDY393256 RNO393256:RNU393256 RXK393256:RXQ393256 SHG393256:SHM393256 SRC393256:SRI393256 TAY393256:TBE393256 TKU393256:TLA393256 TUQ393256:TUW393256 UEM393256:UES393256 UOI393256:UOO393256 UYE393256:UYK393256 VIA393256:VIG393256 VRW393256:VSC393256 WBS393256:WBY393256 WLO393256:WLU393256 WVK393256:WVQ393256 C458791:I458791 IY458792:JE458792 SU458792:TA458792 ACQ458792:ACW458792 AMM458792:AMS458792 AWI458792:AWO458792 BGE458792:BGK458792 BQA458792:BQG458792 BZW458792:CAC458792 CJS458792:CJY458792 CTO458792:CTU458792 DDK458792:DDQ458792 DNG458792:DNM458792 DXC458792:DXI458792 EGY458792:EHE458792 EQU458792:ERA458792 FAQ458792:FAW458792 FKM458792:FKS458792 FUI458792:FUO458792 GEE458792:GEK458792 GOA458792:GOG458792 GXW458792:GYC458792 HHS458792:HHY458792 HRO458792:HRU458792 IBK458792:IBQ458792 ILG458792:ILM458792 IVC458792:IVI458792 JEY458792:JFE458792 JOU458792:JPA458792 JYQ458792:JYW458792 KIM458792:KIS458792 KSI458792:KSO458792 LCE458792:LCK458792 LMA458792:LMG458792 LVW458792:LWC458792 MFS458792:MFY458792 MPO458792:MPU458792 MZK458792:MZQ458792 NJG458792:NJM458792 NTC458792:NTI458792 OCY458792:ODE458792 OMU458792:ONA458792 OWQ458792:OWW458792 PGM458792:PGS458792 PQI458792:PQO458792 QAE458792:QAK458792 QKA458792:QKG458792 QTW458792:QUC458792 RDS458792:RDY458792 RNO458792:RNU458792 RXK458792:RXQ458792 SHG458792:SHM458792 SRC458792:SRI458792 TAY458792:TBE458792 TKU458792:TLA458792 TUQ458792:TUW458792 UEM458792:UES458792 UOI458792:UOO458792 UYE458792:UYK458792 VIA458792:VIG458792 VRW458792:VSC458792 WBS458792:WBY458792 WLO458792:WLU458792 WVK458792:WVQ458792 C524327:I524327 IY524328:JE524328 SU524328:TA524328 ACQ524328:ACW524328 AMM524328:AMS524328 AWI524328:AWO524328 BGE524328:BGK524328 BQA524328:BQG524328 BZW524328:CAC524328 CJS524328:CJY524328 CTO524328:CTU524328 DDK524328:DDQ524328 DNG524328:DNM524328 DXC524328:DXI524328 EGY524328:EHE524328 EQU524328:ERA524328 FAQ524328:FAW524328 FKM524328:FKS524328 FUI524328:FUO524328 GEE524328:GEK524328 GOA524328:GOG524328 GXW524328:GYC524328 HHS524328:HHY524328 HRO524328:HRU524328 IBK524328:IBQ524328 ILG524328:ILM524328 IVC524328:IVI524328 JEY524328:JFE524328 JOU524328:JPA524328 JYQ524328:JYW524328 KIM524328:KIS524328 KSI524328:KSO524328 LCE524328:LCK524328 LMA524328:LMG524328 LVW524328:LWC524328 MFS524328:MFY524328 MPO524328:MPU524328 MZK524328:MZQ524328 NJG524328:NJM524328 NTC524328:NTI524328 OCY524328:ODE524328 OMU524328:ONA524328 OWQ524328:OWW524328 PGM524328:PGS524328 PQI524328:PQO524328 QAE524328:QAK524328 QKA524328:QKG524328 QTW524328:QUC524328 RDS524328:RDY524328 RNO524328:RNU524328 RXK524328:RXQ524328 SHG524328:SHM524328 SRC524328:SRI524328 TAY524328:TBE524328 TKU524328:TLA524328 TUQ524328:TUW524328 UEM524328:UES524328 UOI524328:UOO524328 UYE524328:UYK524328 VIA524328:VIG524328 VRW524328:VSC524328 WBS524328:WBY524328 WLO524328:WLU524328 WVK524328:WVQ524328 C589863:I589863 IY589864:JE589864 SU589864:TA589864 ACQ589864:ACW589864 AMM589864:AMS589864 AWI589864:AWO589864 BGE589864:BGK589864 BQA589864:BQG589864 BZW589864:CAC589864 CJS589864:CJY589864 CTO589864:CTU589864 DDK589864:DDQ589864 DNG589864:DNM589864 DXC589864:DXI589864 EGY589864:EHE589864 EQU589864:ERA589864 FAQ589864:FAW589864 FKM589864:FKS589864 FUI589864:FUO589864 GEE589864:GEK589864 GOA589864:GOG589864 GXW589864:GYC589864 HHS589864:HHY589864 HRO589864:HRU589864 IBK589864:IBQ589864 ILG589864:ILM589864 IVC589864:IVI589864 JEY589864:JFE589864 JOU589864:JPA589864 JYQ589864:JYW589864 KIM589864:KIS589864 KSI589864:KSO589864 LCE589864:LCK589864 LMA589864:LMG589864 LVW589864:LWC589864 MFS589864:MFY589864 MPO589864:MPU589864 MZK589864:MZQ589864 NJG589864:NJM589864 NTC589864:NTI589864 OCY589864:ODE589864 OMU589864:ONA589864 OWQ589864:OWW589864 PGM589864:PGS589864 PQI589864:PQO589864 QAE589864:QAK589864 QKA589864:QKG589864 QTW589864:QUC589864 RDS589864:RDY589864 RNO589864:RNU589864 RXK589864:RXQ589864 SHG589864:SHM589864 SRC589864:SRI589864 TAY589864:TBE589864 TKU589864:TLA589864 TUQ589864:TUW589864 UEM589864:UES589864 UOI589864:UOO589864 UYE589864:UYK589864 VIA589864:VIG589864 VRW589864:VSC589864 WBS589864:WBY589864 WLO589864:WLU589864 WVK589864:WVQ589864 C655399:I655399 IY655400:JE655400 SU655400:TA655400 ACQ655400:ACW655400 AMM655400:AMS655400 AWI655400:AWO655400 BGE655400:BGK655400 BQA655400:BQG655400 BZW655400:CAC655400 CJS655400:CJY655400 CTO655400:CTU655400 DDK655400:DDQ655400 DNG655400:DNM655400 DXC655400:DXI655400 EGY655400:EHE655400 EQU655400:ERA655400 FAQ655400:FAW655400 FKM655400:FKS655400 FUI655400:FUO655400 GEE655400:GEK655400 GOA655400:GOG655400 GXW655400:GYC655400 HHS655400:HHY655400 HRO655400:HRU655400 IBK655400:IBQ655400 ILG655400:ILM655400 IVC655400:IVI655400 JEY655400:JFE655400 JOU655400:JPA655400 JYQ655400:JYW655400 KIM655400:KIS655400 KSI655400:KSO655400 LCE655400:LCK655400 LMA655400:LMG655400 LVW655400:LWC655400 MFS655400:MFY655400 MPO655400:MPU655400 MZK655400:MZQ655400 NJG655400:NJM655400 NTC655400:NTI655400 OCY655400:ODE655400 OMU655400:ONA655400 OWQ655400:OWW655400 PGM655400:PGS655400 PQI655400:PQO655400 QAE655400:QAK655400 QKA655400:QKG655400 QTW655400:QUC655400 RDS655400:RDY655400 RNO655400:RNU655400 RXK655400:RXQ655400 SHG655400:SHM655400 SRC655400:SRI655400 TAY655400:TBE655400 TKU655400:TLA655400 TUQ655400:TUW655400 UEM655400:UES655400 UOI655400:UOO655400 UYE655400:UYK655400 VIA655400:VIG655400 VRW655400:VSC655400 WBS655400:WBY655400 WLO655400:WLU655400 WVK655400:WVQ655400 C720935:I720935 IY720936:JE720936 SU720936:TA720936 ACQ720936:ACW720936 AMM720936:AMS720936 AWI720936:AWO720936 BGE720936:BGK720936 BQA720936:BQG720936 BZW720936:CAC720936 CJS720936:CJY720936 CTO720936:CTU720936 DDK720936:DDQ720936 DNG720936:DNM720936 DXC720936:DXI720936 EGY720936:EHE720936 EQU720936:ERA720936 FAQ720936:FAW720936 FKM720936:FKS720936 FUI720936:FUO720936 GEE720936:GEK720936 GOA720936:GOG720936 GXW720936:GYC720936 HHS720936:HHY720936 HRO720936:HRU720936 IBK720936:IBQ720936 ILG720936:ILM720936 IVC720936:IVI720936 JEY720936:JFE720936 JOU720936:JPA720936 JYQ720936:JYW720936 KIM720936:KIS720936 KSI720936:KSO720936 LCE720936:LCK720936 LMA720936:LMG720936 LVW720936:LWC720936 MFS720936:MFY720936 MPO720936:MPU720936 MZK720936:MZQ720936 NJG720936:NJM720936 NTC720936:NTI720936 OCY720936:ODE720936 OMU720936:ONA720936 OWQ720936:OWW720936 PGM720936:PGS720936 PQI720936:PQO720936 QAE720936:QAK720936 QKA720936:QKG720936 QTW720936:QUC720936 RDS720936:RDY720936 RNO720936:RNU720936 RXK720936:RXQ720936 SHG720936:SHM720936 SRC720936:SRI720936 TAY720936:TBE720936 TKU720936:TLA720936 TUQ720936:TUW720936 UEM720936:UES720936 UOI720936:UOO720936 UYE720936:UYK720936 VIA720936:VIG720936 VRW720936:VSC720936 WBS720936:WBY720936 WLO720936:WLU720936 WVK720936:WVQ720936 C786471:I786471 IY786472:JE786472 SU786472:TA786472 ACQ786472:ACW786472 AMM786472:AMS786472 AWI786472:AWO786472 BGE786472:BGK786472 BQA786472:BQG786472 BZW786472:CAC786472 CJS786472:CJY786472 CTO786472:CTU786472 DDK786472:DDQ786472 DNG786472:DNM786472 DXC786472:DXI786472 EGY786472:EHE786472 EQU786472:ERA786472 FAQ786472:FAW786472 FKM786472:FKS786472 FUI786472:FUO786472 GEE786472:GEK786472 GOA786472:GOG786472 GXW786472:GYC786472 HHS786472:HHY786472 HRO786472:HRU786472 IBK786472:IBQ786472 ILG786472:ILM786472 IVC786472:IVI786472 JEY786472:JFE786472 JOU786472:JPA786472 JYQ786472:JYW786472 KIM786472:KIS786472 KSI786472:KSO786472 LCE786472:LCK786472 LMA786472:LMG786472 LVW786472:LWC786472 MFS786472:MFY786472 MPO786472:MPU786472 MZK786472:MZQ786472 NJG786472:NJM786472 NTC786472:NTI786472 OCY786472:ODE786472 OMU786472:ONA786472 OWQ786472:OWW786472 PGM786472:PGS786472 PQI786472:PQO786472 QAE786472:QAK786472 QKA786472:QKG786472 QTW786472:QUC786472 RDS786472:RDY786472 RNO786472:RNU786472 RXK786472:RXQ786472 SHG786472:SHM786472 SRC786472:SRI786472 TAY786472:TBE786472 TKU786472:TLA786472 TUQ786472:TUW786472 UEM786472:UES786472 UOI786472:UOO786472 UYE786472:UYK786472 VIA786472:VIG786472 VRW786472:VSC786472 WBS786472:WBY786472 WLO786472:WLU786472 WVK786472:WVQ786472 C852007:I852007 IY852008:JE852008 SU852008:TA852008 ACQ852008:ACW852008 AMM852008:AMS852008 AWI852008:AWO852008 BGE852008:BGK852008 BQA852008:BQG852008 BZW852008:CAC852008 CJS852008:CJY852008 CTO852008:CTU852008 DDK852008:DDQ852008 DNG852008:DNM852008 DXC852008:DXI852008 EGY852008:EHE852008 EQU852008:ERA852008 FAQ852008:FAW852008 FKM852008:FKS852008 FUI852008:FUO852008 GEE852008:GEK852008 GOA852008:GOG852008 GXW852008:GYC852008 HHS852008:HHY852008 HRO852008:HRU852008 IBK852008:IBQ852008 ILG852008:ILM852008 IVC852008:IVI852008 JEY852008:JFE852008 JOU852008:JPA852008 JYQ852008:JYW852008 KIM852008:KIS852008 KSI852008:KSO852008 LCE852008:LCK852008 LMA852008:LMG852008 LVW852008:LWC852008 MFS852008:MFY852008 MPO852008:MPU852008 MZK852008:MZQ852008 NJG852008:NJM852008 NTC852008:NTI852008 OCY852008:ODE852008 OMU852008:ONA852008 OWQ852008:OWW852008 PGM852008:PGS852008 PQI852008:PQO852008 QAE852008:QAK852008 QKA852008:QKG852008 QTW852008:QUC852008 RDS852008:RDY852008 RNO852008:RNU852008 RXK852008:RXQ852008 SHG852008:SHM852008 SRC852008:SRI852008 TAY852008:TBE852008 TKU852008:TLA852008 TUQ852008:TUW852008 UEM852008:UES852008 UOI852008:UOO852008 UYE852008:UYK852008 VIA852008:VIG852008 VRW852008:VSC852008 WBS852008:WBY852008 WLO852008:WLU852008 WVK852008:WVQ852008 C917543:I917543 IY917544:JE917544 SU917544:TA917544 ACQ917544:ACW917544 AMM917544:AMS917544 AWI917544:AWO917544 BGE917544:BGK917544 BQA917544:BQG917544 BZW917544:CAC917544 CJS917544:CJY917544 CTO917544:CTU917544 DDK917544:DDQ917544 DNG917544:DNM917544 DXC917544:DXI917544 EGY917544:EHE917544 EQU917544:ERA917544 FAQ917544:FAW917544 FKM917544:FKS917544 FUI917544:FUO917544 GEE917544:GEK917544 GOA917544:GOG917544 GXW917544:GYC917544 HHS917544:HHY917544 HRO917544:HRU917544 IBK917544:IBQ917544 ILG917544:ILM917544 IVC917544:IVI917544 JEY917544:JFE917544 JOU917544:JPA917544 JYQ917544:JYW917544 KIM917544:KIS917544 KSI917544:KSO917544 LCE917544:LCK917544 LMA917544:LMG917544 LVW917544:LWC917544 MFS917544:MFY917544 MPO917544:MPU917544 MZK917544:MZQ917544 NJG917544:NJM917544 NTC917544:NTI917544 OCY917544:ODE917544 OMU917544:ONA917544 OWQ917544:OWW917544 PGM917544:PGS917544 PQI917544:PQO917544 QAE917544:QAK917544 QKA917544:QKG917544 QTW917544:QUC917544 RDS917544:RDY917544 RNO917544:RNU917544 RXK917544:RXQ917544 SHG917544:SHM917544 SRC917544:SRI917544 TAY917544:TBE917544 TKU917544:TLA917544 TUQ917544:TUW917544 UEM917544:UES917544 UOI917544:UOO917544 UYE917544:UYK917544 VIA917544:VIG917544 VRW917544:VSC917544 WBS917544:WBY917544 WLO917544:WLU917544 WVK917544:WVQ917544 C983079:I983079 IY983080:JE983080 SU983080:TA983080 ACQ983080:ACW983080 AMM983080:AMS983080 AWI983080:AWO983080 BGE983080:BGK983080 BQA983080:BQG983080 BZW983080:CAC983080 CJS983080:CJY983080 CTO983080:CTU983080 DDK983080:DDQ983080 DNG983080:DNM983080 DXC983080:DXI983080 EGY983080:EHE983080 EQU983080:ERA983080 FAQ983080:FAW983080 FKM983080:FKS983080 FUI983080:FUO983080 GEE983080:GEK983080 GOA983080:GOG983080 GXW983080:GYC983080 HHS983080:HHY983080 HRO983080:HRU983080 IBK983080:IBQ983080 ILG983080:ILM983080 IVC983080:IVI983080 JEY983080:JFE983080 JOU983080:JPA983080 JYQ983080:JYW983080 KIM983080:KIS983080 KSI983080:KSO983080 LCE983080:LCK983080 LMA983080:LMG983080 LVW983080:LWC983080 MFS983080:MFY983080 MPO983080:MPU983080 MZK983080:MZQ983080 NJG983080:NJM983080 NTC983080:NTI983080 OCY983080:ODE983080 OMU983080:ONA983080 OWQ983080:OWW983080 PGM983080:PGS983080 PQI983080:PQO983080 QAE983080:QAK983080 QKA983080:QKG983080 QTW983080:QUC983080 RDS983080:RDY983080 RNO983080:RNU983080 RXK983080:RXQ983080 SHG983080:SHM983080 SRC983080:SRI983080 TAY983080:TBE983080 TKU983080:TLA983080 TUQ983080:TUW983080 UEM983080:UES983080 UOI983080:UOO983080 UYE983080:UYK983080 VIA983080:VIG983080 VRW983080:VSC983080 WBS983080:WBY983080 WLO983080:WLU983080 WVK983080:WVQ983080 WLV983042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65537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3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09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5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1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7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3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89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5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1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7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3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69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5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1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formula1>Visits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'Unit costs'!$B$25:$B$66</xm:f>
          </x14:formula1>
          <xm:sqref>B77:B91</xm:sqref>
        </x14:dataValidation>
        <x14:dataValidation type="list" allowBlank="1" showInputMessage="1" showErrorMessage="1">
          <x14:formula1>
            <xm:f>'Unit costs'!$B$86:$B$173</xm:f>
          </x14:formula1>
          <xm:sqref>B109</xm:sqref>
        </x14:dataValidation>
        <x14:dataValidation type="list" allowBlank="1" showInputMessage="1" showErrorMessage="1">
          <x14:formula1>
            <xm:f>'Health Facilities'!$A$26:$A$34</xm:f>
          </x14:formula1>
          <xm:sqref>B17:B42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1D81"/>
  </sheetPr>
  <dimension ref="A1:X99"/>
  <sheetViews>
    <sheetView showGridLines="0" zoomScale="90" zoomScaleNormal="90" workbookViewId="0">
      <selection activeCell="D9" sqref="D9"/>
    </sheetView>
  </sheetViews>
  <sheetFormatPr defaultColWidth="9.140625" defaultRowHeight="15" x14ac:dyDescent="0.25"/>
  <cols>
    <col min="1" max="1" width="36.42578125" style="296" bestFit="1" customWidth="1"/>
    <col min="2" max="2" width="17.7109375" style="296" bestFit="1" customWidth="1"/>
    <col min="3" max="12" width="16" style="296" bestFit="1" customWidth="1"/>
    <col min="13" max="16384" width="9.140625" style="296"/>
  </cols>
  <sheetData>
    <row r="1" spans="1:12" ht="15.75" customHeight="1" thickBot="1" x14ac:dyDescent="0.35">
      <c r="A1" s="499" t="s">
        <v>535</v>
      </c>
      <c r="B1" s="499"/>
    </row>
    <row r="2" spans="1:12" x14ac:dyDescent="0.25">
      <c r="A2" s="297"/>
      <c r="B2" s="298">
        <f>B20</f>
        <v>2015</v>
      </c>
      <c r="C2" s="298">
        <f t="shared" ref="C2:L2" si="0">C20</f>
        <v>2016</v>
      </c>
      <c r="D2" s="298">
        <f t="shared" si="0"/>
        <v>2017</v>
      </c>
      <c r="E2" s="298">
        <f t="shared" si="0"/>
        <v>2018</v>
      </c>
      <c r="F2" s="298">
        <f t="shared" si="0"/>
        <v>2019</v>
      </c>
      <c r="G2" s="298">
        <f t="shared" si="0"/>
        <v>2020</v>
      </c>
      <c r="H2" s="298">
        <f t="shared" si="0"/>
        <v>2021</v>
      </c>
      <c r="I2" s="298">
        <f t="shared" si="0"/>
        <v>2022</v>
      </c>
      <c r="J2" s="298">
        <f t="shared" si="0"/>
        <v>2023</v>
      </c>
      <c r="K2" s="298">
        <f t="shared" si="0"/>
        <v>2024</v>
      </c>
      <c r="L2" s="298">
        <f t="shared" si="0"/>
        <v>2025</v>
      </c>
    </row>
    <row r="3" spans="1:12" x14ac:dyDescent="0.25">
      <c r="A3" s="299" t="s">
        <v>533</v>
      </c>
      <c r="B3" s="379">
        <f>B$8*0.9</f>
        <v>1716685.2</v>
      </c>
      <c r="C3" s="379">
        <f t="shared" ref="C3:L3" si="1">C$8*0.9</f>
        <v>1725090.3</v>
      </c>
      <c r="D3" s="379">
        <f t="shared" si="1"/>
        <v>1725210</v>
      </c>
      <c r="E3" s="379">
        <f t="shared" si="1"/>
        <v>1718328.6</v>
      </c>
      <c r="F3" s="379">
        <f t="shared" si="1"/>
        <v>1710436.5</v>
      </c>
      <c r="G3" s="379">
        <f t="shared" si="1"/>
        <v>1705140</v>
      </c>
      <c r="H3" s="379">
        <f t="shared" si="1"/>
        <v>1703040.3</v>
      </c>
      <c r="I3" s="379">
        <f t="shared" si="1"/>
        <v>1701297.9000000001</v>
      </c>
      <c r="J3" s="379">
        <f t="shared" si="1"/>
        <v>1700197.2</v>
      </c>
      <c r="K3" s="379">
        <f t="shared" si="1"/>
        <v>1700528.4000000001</v>
      </c>
      <c r="L3" s="379">
        <f t="shared" si="1"/>
        <v>1702645.2</v>
      </c>
    </row>
    <row r="4" spans="1:12" x14ac:dyDescent="0.25">
      <c r="A4" s="300" t="str">
        <f>'Set up'!B18</f>
        <v>Abbott M2000 RealTime</v>
      </c>
      <c r="B4" s="380">
        <f>'Set up'!D18</f>
        <v>46500</v>
      </c>
      <c r="C4" s="380">
        <f>(B4/B3)*C3</f>
        <v>46727.669668265335</v>
      </c>
      <c r="D4" s="380">
        <f>(C4/C3)*D3</f>
        <v>46730.911992484122</v>
      </c>
      <c r="E4" s="380">
        <f t="shared" ref="E4:L4" si="2">(D4/D3)*E3</f>
        <v>46544.51491747002</v>
      </c>
      <c r="F4" s="380">
        <f t="shared" si="2"/>
        <v>46330.740924428079</v>
      </c>
      <c r="G4" s="380">
        <f t="shared" si="2"/>
        <v>46187.274172340978</v>
      </c>
      <c r="H4" s="380">
        <f t="shared" si="2"/>
        <v>46130.399417435423</v>
      </c>
      <c r="I4" s="380">
        <f t="shared" si="2"/>
        <v>46083.202878431075</v>
      </c>
      <c r="J4" s="380">
        <f t="shared" si="2"/>
        <v>46053.388122644741</v>
      </c>
      <c r="K4" s="380">
        <f t="shared" si="2"/>
        <v>46062.359365595985</v>
      </c>
      <c r="L4" s="380">
        <f t="shared" si="2"/>
        <v>46119.697309675656</v>
      </c>
    </row>
    <row r="5" spans="1:12" x14ac:dyDescent="0.25">
      <c r="A5" s="301" t="str">
        <f>'Set up'!B19</f>
        <v>Abbott M2000 RealTime</v>
      </c>
      <c r="B5" s="380">
        <f>'Set up'!D19</f>
        <v>46500</v>
      </c>
      <c r="C5" s="380">
        <f>(B5/B3)*C3</f>
        <v>46727.669668265335</v>
      </c>
      <c r="D5" s="380">
        <f>(C5/C3)*D3</f>
        <v>46730.911992484122</v>
      </c>
      <c r="E5" s="380">
        <f t="shared" ref="E5:L5" si="3">(D5/D3)*E3</f>
        <v>46544.51491747002</v>
      </c>
      <c r="F5" s="380">
        <f t="shared" si="3"/>
        <v>46330.740924428079</v>
      </c>
      <c r="G5" s="380">
        <f t="shared" si="3"/>
        <v>46187.274172340978</v>
      </c>
      <c r="H5" s="380">
        <f t="shared" si="3"/>
        <v>46130.399417435423</v>
      </c>
      <c r="I5" s="380">
        <f t="shared" si="3"/>
        <v>46083.202878431075</v>
      </c>
      <c r="J5" s="380">
        <f t="shared" si="3"/>
        <v>46053.388122644741</v>
      </c>
      <c r="K5" s="380">
        <f t="shared" si="3"/>
        <v>46062.359365595985</v>
      </c>
      <c r="L5" s="380">
        <f t="shared" si="3"/>
        <v>46119.697309675656</v>
      </c>
    </row>
    <row r="6" spans="1:12" x14ac:dyDescent="0.25">
      <c r="A6" s="300" t="str">
        <f>'Set up'!B20</f>
        <v>Roche COBAS Ampliprep/TaqMan 48</v>
      </c>
      <c r="B6" s="380">
        <f>'Set up'!D20</f>
        <v>42000</v>
      </c>
      <c r="C6" s="380">
        <f>(B6/B3)*C3</f>
        <v>42205.63711972352</v>
      </c>
      <c r="D6" s="380">
        <f t="shared" ref="D6:L6" si="4">(C6/C3)*D3</f>
        <v>42208.565670630815</v>
      </c>
      <c r="E6" s="380">
        <f t="shared" si="4"/>
        <v>42040.207022230985</v>
      </c>
      <c r="F6" s="380">
        <f t="shared" si="4"/>
        <v>41847.120834967296</v>
      </c>
      <c r="G6" s="380">
        <f t="shared" si="4"/>
        <v>41717.537962114424</v>
      </c>
      <c r="H6" s="380">
        <f t="shared" si="4"/>
        <v>41666.167215748108</v>
      </c>
      <c r="I6" s="380">
        <f t="shared" si="4"/>
        <v>41623.538083744177</v>
      </c>
      <c r="J6" s="380">
        <f t="shared" si="4"/>
        <v>41596.608626904912</v>
      </c>
      <c r="K6" s="380">
        <f t="shared" si="4"/>
        <v>41604.711685054426</v>
      </c>
      <c r="L6" s="380">
        <f t="shared" si="4"/>
        <v>41656.500795836058</v>
      </c>
    </row>
    <row r="7" spans="1:12" x14ac:dyDescent="0.25">
      <c r="A7" s="300" t="str">
        <f>'Set up'!B21</f>
        <v>Roche COBAS Ampliprep/TaqMan 48</v>
      </c>
      <c r="B7" s="380">
        <f>'Set up'!D21</f>
        <v>42000</v>
      </c>
      <c r="C7" s="380">
        <f>(B7/B3)*C3</f>
        <v>42205.63711972352</v>
      </c>
      <c r="D7" s="380">
        <f t="shared" ref="D7:L7" si="5">(C7/C3)*D3</f>
        <v>42208.565670630815</v>
      </c>
      <c r="E7" s="380">
        <f t="shared" si="5"/>
        <v>42040.207022230985</v>
      </c>
      <c r="F7" s="380">
        <f t="shared" si="5"/>
        <v>41847.120834967296</v>
      </c>
      <c r="G7" s="380">
        <f t="shared" si="5"/>
        <v>41717.537962114424</v>
      </c>
      <c r="H7" s="380">
        <f t="shared" si="5"/>
        <v>41666.167215748108</v>
      </c>
      <c r="I7" s="380">
        <f t="shared" si="5"/>
        <v>41623.538083744177</v>
      </c>
      <c r="J7" s="380">
        <f t="shared" si="5"/>
        <v>41596.608626904912</v>
      </c>
      <c r="K7" s="380">
        <f t="shared" si="5"/>
        <v>41604.711685054426</v>
      </c>
      <c r="L7" s="380">
        <f t="shared" si="5"/>
        <v>41656.500795836058</v>
      </c>
    </row>
    <row r="8" spans="1:12" ht="15.75" thickBot="1" x14ac:dyDescent="0.3">
      <c r="A8" s="302" t="s">
        <v>532</v>
      </c>
      <c r="B8" s="380">
        <f>'Selected populations'!B96+'Selected populations'!N96</f>
        <v>1907428</v>
      </c>
      <c r="C8" s="380">
        <f>'Selected populations'!C96+'Selected populations'!O96</f>
        <v>1916767</v>
      </c>
      <c r="D8" s="380">
        <f>'Selected populations'!D96+'Selected populations'!P96</f>
        <v>1916900</v>
      </c>
      <c r="E8" s="380">
        <f>'Selected populations'!E96+'Selected populations'!Q96</f>
        <v>1909254</v>
      </c>
      <c r="F8" s="380">
        <f>'Selected populations'!F96+'Selected populations'!R96</f>
        <v>1900485</v>
      </c>
      <c r="G8" s="380">
        <f>'Selected populations'!G96+'Selected populations'!S96</f>
        <v>1894600</v>
      </c>
      <c r="H8" s="380">
        <f>'Selected populations'!H96+'Selected populations'!T96</f>
        <v>1892267</v>
      </c>
      <c r="I8" s="380">
        <f>'Selected populations'!I96+'Selected populations'!U96</f>
        <v>1890331</v>
      </c>
      <c r="J8" s="380">
        <f>'Selected populations'!J96+'Selected populations'!V96</f>
        <v>1889108</v>
      </c>
      <c r="K8" s="380">
        <f>'Selected populations'!K96+'Selected populations'!W96</f>
        <v>1889476</v>
      </c>
      <c r="L8" s="380">
        <f>'Selected populations'!L96+'Selected populations'!X96</f>
        <v>1891828</v>
      </c>
    </row>
    <row r="10" spans="1:12" ht="19.5" thickBot="1" x14ac:dyDescent="0.35">
      <c r="A10" s="499" t="s">
        <v>201</v>
      </c>
      <c r="B10" s="499" t="s">
        <v>534</v>
      </c>
      <c r="C10" s="303"/>
      <c r="D10" s="303"/>
      <c r="E10" s="303"/>
      <c r="F10" s="303"/>
      <c r="G10" s="303"/>
      <c r="H10" s="303"/>
      <c r="I10" s="303"/>
      <c r="J10" s="303"/>
      <c r="K10" s="303"/>
      <c r="L10" s="303"/>
    </row>
    <row r="11" spans="1:12" x14ac:dyDescent="0.25">
      <c r="A11" s="297"/>
      <c r="B11" s="298">
        <f>B20</f>
        <v>2015</v>
      </c>
      <c r="C11" s="298">
        <f t="shared" ref="C11:L11" si="6">C20</f>
        <v>2016</v>
      </c>
      <c r="D11" s="298">
        <f t="shared" si="6"/>
        <v>2017</v>
      </c>
      <c r="E11" s="298">
        <f t="shared" si="6"/>
        <v>2018</v>
      </c>
      <c r="F11" s="298">
        <f t="shared" si="6"/>
        <v>2019</v>
      </c>
      <c r="G11" s="298">
        <f t="shared" si="6"/>
        <v>2020</v>
      </c>
      <c r="H11" s="298">
        <f t="shared" si="6"/>
        <v>2021</v>
      </c>
      <c r="I11" s="298">
        <f t="shared" si="6"/>
        <v>2022</v>
      </c>
      <c r="J11" s="298">
        <f t="shared" si="6"/>
        <v>2023</v>
      </c>
      <c r="K11" s="298">
        <f t="shared" si="6"/>
        <v>2024</v>
      </c>
      <c r="L11" s="298">
        <f t="shared" si="6"/>
        <v>2025</v>
      </c>
    </row>
    <row r="12" spans="1:12" x14ac:dyDescent="0.25">
      <c r="A12" s="304" t="str">
        <f>'Set up'!B18</f>
        <v>Abbott M2000 RealTime</v>
      </c>
      <c r="B12" s="381">
        <f t="shared" ref="B12:L12" si="7">B28*B4</f>
        <v>1159902.7128124174</v>
      </c>
      <c r="C12" s="381">
        <f t="shared" si="7"/>
        <v>1171260.762956334</v>
      </c>
      <c r="D12" s="381">
        <f t="shared" si="7"/>
        <v>1171559.5152017104</v>
      </c>
      <c r="E12" s="381">
        <f t="shared" si="7"/>
        <v>1162465.4109054357</v>
      </c>
      <c r="F12" s="381">
        <f t="shared" si="7"/>
        <v>1152056.5868915236</v>
      </c>
      <c r="G12" s="381">
        <f t="shared" si="7"/>
        <v>1145148.6431050627</v>
      </c>
      <c r="H12" s="381">
        <f t="shared" si="7"/>
        <v>1142502.6574683143</v>
      </c>
      <c r="I12" s="381">
        <f t="shared" si="7"/>
        <v>1140333.8043436168</v>
      </c>
      <c r="J12" s="381">
        <f t="shared" si="7"/>
        <v>1139017.0992523825</v>
      </c>
      <c r="K12" s="381">
        <f t="shared" si="7"/>
        <v>1139596.1442498106</v>
      </c>
      <c r="L12" s="381">
        <f t="shared" si="7"/>
        <v>1142538.8596023065</v>
      </c>
    </row>
    <row r="13" spans="1:12" x14ac:dyDescent="0.25">
      <c r="A13" s="304" t="str">
        <f>'Set up'!B19</f>
        <v>Abbott M2000 RealTime</v>
      </c>
      <c r="B13" s="381">
        <f t="shared" ref="B13:L13" si="8">B40*B5</f>
        <v>1170052.7128124174</v>
      </c>
      <c r="C13" s="381">
        <f t="shared" si="8"/>
        <v>1181510.154230867</v>
      </c>
      <c r="D13" s="381">
        <f t="shared" si="8"/>
        <v>1181674.1187090874</v>
      </c>
      <c r="E13" s="381">
        <f t="shared" si="8"/>
        <v>1172247.3564245137</v>
      </c>
      <c r="F13" s="381">
        <f t="shared" si="8"/>
        <v>1161479.3422488342</v>
      </c>
      <c r="G13" s="381">
        <f t="shared" si="8"/>
        <v>1154286.119540805</v>
      </c>
      <c r="H13" s="381">
        <f t="shared" si="8"/>
        <v>1151443.3564067523</v>
      </c>
      <c r="I13" s="381">
        <f t="shared" si="8"/>
        <v>1149087.2466843897</v>
      </c>
      <c r="J13" s="381">
        <f t="shared" si="8"/>
        <v>1147600.3814711589</v>
      </c>
      <c r="K13" s="381">
        <f t="shared" si="8"/>
        <v>1148047.4887200634</v>
      </c>
      <c r="L13" s="381">
        <f t="shared" si="8"/>
        <v>1150905.6437783646</v>
      </c>
    </row>
    <row r="14" spans="1:12" x14ac:dyDescent="0.25">
      <c r="A14" s="304" t="str">
        <f>'Set up'!B20</f>
        <v>Roche COBAS Ampliprep/TaqMan 48</v>
      </c>
      <c r="B14" s="381">
        <f t="shared" ref="B14:L14" si="9">B52*B6</f>
        <v>1239090.7956954644</v>
      </c>
      <c r="C14" s="381">
        <f t="shared" si="9"/>
        <v>1251224.2748527378</v>
      </c>
      <c r="D14" s="381">
        <f t="shared" si="9"/>
        <v>1251397.9139320368</v>
      </c>
      <c r="E14" s="381">
        <f t="shared" si="9"/>
        <v>1241414.9326081034</v>
      </c>
      <c r="F14" s="381">
        <f t="shared" si="9"/>
        <v>1230011.5598310495</v>
      </c>
      <c r="G14" s="381">
        <f t="shared" si="9"/>
        <v>1222393.9064114164</v>
      </c>
      <c r="H14" s="381">
        <f t="shared" si="9"/>
        <v>1219383.4081704598</v>
      </c>
      <c r="I14" s="381">
        <f t="shared" si="9"/>
        <v>1216888.2779608034</v>
      </c>
      <c r="J14" s="381">
        <f t="shared" si="9"/>
        <v>1215313.6813806847</v>
      </c>
      <c r="K14" s="381">
        <f t="shared" si="9"/>
        <v>1215787.1698575194</v>
      </c>
      <c r="L14" s="381">
        <f t="shared" si="9"/>
        <v>1218813.9682116711</v>
      </c>
    </row>
    <row r="15" spans="1:12" x14ac:dyDescent="0.25">
      <c r="A15" s="304" t="str">
        <f>'Set up'!B21</f>
        <v>Roche COBAS Ampliprep/TaqMan 48</v>
      </c>
      <c r="B15" s="381">
        <f t="shared" ref="B15:L15" si="10">B64*B7</f>
        <v>1257090.7956954646</v>
      </c>
      <c r="C15" s="381">
        <f t="shared" si="10"/>
        <v>1269400.5352410723</v>
      </c>
      <c r="D15" s="381">
        <f t="shared" si="10"/>
        <v>1269576.6967371614</v>
      </c>
      <c r="E15" s="381">
        <f t="shared" si="10"/>
        <v>1259448.6948348691</v>
      </c>
      <c r="F15" s="381">
        <f t="shared" si="10"/>
        <v>1247879.6677646029</v>
      </c>
      <c r="G15" s="381">
        <f t="shared" si="10"/>
        <v>1240151.3543658704</v>
      </c>
      <c r="H15" s="381">
        <f t="shared" si="10"/>
        <v>1237097.1232777929</v>
      </c>
      <c r="I15" s="381">
        <f t="shared" si="10"/>
        <v>1234565.7468592795</v>
      </c>
      <c r="J15" s="381">
        <f t="shared" si="10"/>
        <v>1232968.2764602762</v>
      </c>
      <c r="K15" s="381">
        <f t="shared" si="10"/>
        <v>1233448.6432002801</v>
      </c>
      <c r="L15" s="381">
        <f t="shared" si="10"/>
        <v>1236519.4111897191</v>
      </c>
    </row>
    <row r="17" spans="1:12" s="307" customFormat="1" ht="19.5" thickBot="1" x14ac:dyDescent="0.35">
      <c r="A17" s="500" t="s">
        <v>200</v>
      </c>
      <c r="B17" s="500"/>
      <c r="C17" s="305"/>
      <c r="D17" s="306"/>
      <c r="E17" s="306"/>
      <c r="F17" s="306"/>
      <c r="G17" s="306"/>
      <c r="H17" s="306"/>
      <c r="I17" s="306"/>
      <c r="J17" s="306"/>
      <c r="K17" s="306"/>
      <c r="L17" s="306"/>
    </row>
    <row r="18" spans="1:12" ht="19.5" thickBot="1" x14ac:dyDescent="0.35">
      <c r="A18" s="308" t="s">
        <v>490</v>
      </c>
      <c r="B18" s="499" t="s">
        <v>534</v>
      </c>
    </row>
    <row r="19" spans="1:12" x14ac:dyDescent="0.25">
      <c r="A19" s="309" t="str">
        <f>'Set up'!B18</f>
        <v>Abbott M2000 RealTime</v>
      </c>
      <c r="B19" s="310"/>
      <c r="C19" s="310"/>
      <c r="D19" s="310"/>
      <c r="E19" s="310"/>
      <c r="F19" s="310"/>
      <c r="G19" s="310"/>
      <c r="H19" s="310"/>
      <c r="I19" s="310"/>
      <c r="J19" s="310"/>
      <c r="K19" s="310"/>
      <c r="L19" s="311"/>
    </row>
    <row r="20" spans="1:12" x14ac:dyDescent="0.25">
      <c r="A20" s="312"/>
      <c r="B20" s="313">
        <v>2015</v>
      </c>
      <c r="C20" s="313">
        <v>2016</v>
      </c>
      <c r="D20" s="313">
        <v>2017</v>
      </c>
      <c r="E20" s="313">
        <v>2018</v>
      </c>
      <c r="F20" s="313">
        <v>2019</v>
      </c>
      <c r="G20" s="313">
        <v>2020</v>
      </c>
      <c r="H20" s="313">
        <v>2021</v>
      </c>
      <c r="I20" s="313">
        <v>2022</v>
      </c>
      <c r="J20" s="313">
        <v>2023</v>
      </c>
      <c r="K20" s="313">
        <v>2024</v>
      </c>
      <c r="L20" s="314">
        <v>2025</v>
      </c>
    </row>
    <row r="21" spans="1:12" x14ac:dyDescent="0.25">
      <c r="A21" s="312" t="s">
        <v>70</v>
      </c>
      <c r="B21" s="382">
        <f>SUM('Blood sample &amp; packaging'!C8,Centrifuge!C8,'Running Machine'!C8,'Quality Assurance'!C8,Training!C8,Transport!D9,Transport!C9)</f>
        <v>5.194709947986782</v>
      </c>
      <c r="C21" s="383">
        <f t="shared" ref="C21:L21" si="11">(((C4-B4)/C4)*B21)+B21</f>
        <v>5.2200199602127073</v>
      </c>
      <c r="D21" s="383">
        <f t="shared" si="11"/>
        <v>5.2203821401150012</v>
      </c>
      <c r="E21" s="383">
        <f t="shared" si="11"/>
        <v>5.1994760470318813</v>
      </c>
      <c r="F21" s="383">
        <f t="shared" si="11"/>
        <v>5.175485220765732</v>
      </c>
      <c r="G21" s="383">
        <f t="shared" si="11"/>
        <v>5.1594091463836955</v>
      </c>
      <c r="H21" s="383">
        <f t="shared" si="11"/>
        <v>5.1530480453664964</v>
      </c>
      <c r="I21" s="383">
        <f t="shared" si="11"/>
        <v>5.1477705034884718</v>
      </c>
      <c r="J21" s="383">
        <f t="shared" si="11"/>
        <v>5.1444378600791127</v>
      </c>
      <c r="K21" s="383">
        <f t="shared" si="11"/>
        <v>5.1454398061914262</v>
      </c>
      <c r="L21" s="383">
        <f t="shared" si="11"/>
        <v>5.1518368329952171</v>
      </c>
    </row>
    <row r="22" spans="1:12" x14ac:dyDescent="0.25">
      <c r="A22" s="312" t="s">
        <v>486</v>
      </c>
      <c r="B22" s="382">
        <f>SUM('Blood sample &amp; packaging'!D8,Centrifuge!D8,'Running Machine'!D8,'Quality Assurance'!D8,Transport!H9,Transport!G9,'Unit costs'!E16)</f>
        <v>0.13642428026361428</v>
      </c>
      <c r="C22" s="383">
        <f t="shared" ref="C22:L22" si="12">(((C4-B4)/C4)*B22)+B22</f>
        <v>0.13708897573958082</v>
      </c>
      <c r="D22" s="383">
        <f t="shared" si="12"/>
        <v>0.13709848736448213</v>
      </c>
      <c r="E22" s="383">
        <f t="shared" si="12"/>
        <v>0.13654944829771112</v>
      </c>
      <c r="F22" s="383">
        <f t="shared" si="12"/>
        <v>0.13591939748851103</v>
      </c>
      <c r="G22" s="383">
        <f t="shared" si="12"/>
        <v>0.13549720512377977</v>
      </c>
      <c r="H22" s="383">
        <f t="shared" si="12"/>
        <v>0.13533014889992037</v>
      </c>
      <c r="I22" s="383">
        <f t="shared" si="12"/>
        <v>0.13519154927463242</v>
      </c>
      <c r="J22" s="383">
        <f t="shared" si="12"/>
        <v>0.13510402687529743</v>
      </c>
      <c r="K22" s="383">
        <f t="shared" si="12"/>
        <v>0.13513034013986927</v>
      </c>
      <c r="L22" s="383">
        <f t="shared" si="12"/>
        <v>0.13529833985232145</v>
      </c>
    </row>
    <row r="23" spans="1:12" x14ac:dyDescent="0.25">
      <c r="A23" s="312" t="s">
        <v>71</v>
      </c>
      <c r="B23" s="382">
        <f>SUM('Blood sample &amp; packaging'!E8,Centrifuge!E8,'Running Machine'!E8,'Quality Assurance'!E8,Transport!J9,Transport!I9)</f>
        <v>2.6971055460355298</v>
      </c>
      <c r="C23" s="383">
        <f t="shared" ref="C23:L23" si="13">(((C4-B4)/C4)*B23)+B23</f>
        <v>2.7102465635376185</v>
      </c>
      <c r="D23" s="383">
        <f t="shared" si="13"/>
        <v>2.7104346081893738</v>
      </c>
      <c r="E23" s="383">
        <f t="shared" si="13"/>
        <v>2.6995801157990393</v>
      </c>
      <c r="F23" s="383">
        <f t="shared" si="13"/>
        <v>2.6871240227304583</v>
      </c>
      <c r="G23" s="383">
        <f t="shared" si="13"/>
        <v>2.6787772873384132</v>
      </c>
      <c r="H23" s="383">
        <f t="shared" si="13"/>
        <v>2.6754745888231612</v>
      </c>
      <c r="I23" s="383">
        <f t="shared" si="13"/>
        <v>2.6727344767454557</v>
      </c>
      <c r="J23" s="383">
        <f t="shared" si="13"/>
        <v>2.6710041604982848</v>
      </c>
      <c r="K23" s="383">
        <f t="shared" si="13"/>
        <v>2.6715243732615397</v>
      </c>
      <c r="L23" s="383">
        <f t="shared" si="13"/>
        <v>2.6748457245291553</v>
      </c>
    </row>
    <row r="24" spans="1:12" x14ac:dyDescent="0.25">
      <c r="A24" s="312" t="s">
        <v>438</v>
      </c>
      <c r="B24" s="382">
        <f>SUM('Running Machine'!F8,'Quality Assurance'!F8)</f>
        <v>16.311966793602998</v>
      </c>
      <c r="C24" s="383">
        <f t="shared" ref="C24:L24" si="14">(((C4-B4)/C4)*B24)+B24</f>
        <v>16.391443046003765</v>
      </c>
      <c r="D24" s="383">
        <f t="shared" si="14"/>
        <v>16.392580331164762</v>
      </c>
      <c r="E24" s="383">
        <f t="shared" si="14"/>
        <v>16.326932874507825</v>
      </c>
      <c r="F24" s="383">
        <f t="shared" si="14"/>
        <v>16.251599012690154</v>
      </c>
      <c r="G24" s="383">
        <f t="shared" si="14"/>
        <v>16.201118351764535</v>
      </c>
      <c r="H24" s="383">
        <f t="shared" si="14"/>
        <v>16.181143787332211</v>
      </c>
      <c r="I24" s="383">
        <f t="shared" si="14"/>
        <v>16.164571719068892</v>
      </c>
      <c r="J24" s="383">
        <f t="shared" si="14"/>
        <v>16.154106848234388</v>
      </c>
      <c r="K24" s="383">
        <f t="shared" si="14"/>
        <v>16.15725307042517</v>
      </c>
      <c r="L24" s="383">
        <f t="shared" si="14"/>
        <v>16.177340445821685</v>
      </c>
    </row>
    <row r="25" spans="1:12" x14ac:dyDescent="0.25">
      <c r="A25" s="312" t="s">
        <v>487</v>
      </c>
      <c r="B25" s="382">
        <f>SUM('Capital &amp; Overheads'!C8,Transport!E9,Transport!F9)</f>
        <v>0.10589295026540993</v>
      </c>
      <c r="C25" s="383">
        <f>((($C$4-$B$4)/$C$4)*B25)+B25</f>
        <v>0.10640888895932979</v>
      </c>
      <c r="D25" s="383">
        <f t="shared" ref="D25:L25" si="15">((($C$4-$B$4)/$C$4)*C25)+C25</f>
        <v>0.10692734144416034</v>
      </c>
      <c r="E25" s="383">
        <f t="shared" si="15"/>
        <v>0.1074483199677613</v>
      </c>
      <c r="F25" s="383">
        <f t="shared" si="15"/>
        <v>0.10797183683766721</v>
      </c>
      <c r="G25" s="383">
        <f t="shared" si="15"/>
        <v>0.10849790442137823</v>
      </c>
      <c r="H25" s="383">
        <f t="shared" si="15"/>
        <v>0.10902653514665224</v>
      </c>
      <c r="I25" s="383">
        <f t="shared" si="15"/>
        <v>0.10955774150179849</v>
      </c>
      <c r="J25" s="383">
        <f t="shared" si="15"/>
        <v>0.1100915360359726</v>
      </c>
      <c r="K25" s="383">
        <f t="shared" si="15"/>
        <v>0.11062793135947305</v>
      </c>
      <c r="L25" s="383">
        <f t="shared" si="15"/>
        <v>0.11116694014403901</v>
      </c>
    </row>
    <row r="26" spans="1:12" x14ac:dyDescent="0.25">
      <c r="A26" s="312" t="s">
        <v>488</v>
      </c>
      <c r="B26" s="383">
        <f>SUM('Capital &amp; Overheads'!D8:F8,Training!D8)</f>
        <v>0.49804484340302818</v>
      </c>
      <c r="C26" s="383">
        <f>((($C$4-$B$4)/$C$4)*B26)+B26</f>
        <v>0.50047145070195442</v>
      </c>
      <c r="D26" s="383">
        <f t="shared" ref="D26:L27" si="16">((($C$4-$B$4)/$C$4)*C26)+C26</f>
        <v>0.50290988107878465</v>
      </c>
      <c r="E26" s="383">
        <f t="shared" si="16"/>
        <v>0.50536019213870731</v>
      </c>
      <c r="F26" s="383">
        <f t="shared" si="16"/>
        <v>0.50782244176757896</v>
      </c>
      <c r="G26" s="383">
        <f t="shared" si="16"/>
        <v>0.51029668813329143</v>
      </c>
      <c r="H26" s="383">
        <f t="shared" si="16"/>
        <v>0.51278298968714586</v>
      </c>
      <c r="I26" s="383">
        <f t="shared" si="16"/>
        <v>0.51528140516523391</v>
      </c>
      <c r="J26" s="383">
        <f t="shared" si="16"/>
        <v>0.51779199358982497</v>
      </c>
      <c r="K26" s="383">
        <f t="shared" si="16"/>
        <v>0.52031481427076087</v>
      </c>
      <c r="L26" s="383">
        <f t="shared" si="16"/>
        <v>0.52284992680685671</v>
      </c>
    </row>
    <row r="27" spans="1:12" ht="15.75" thickBot="1" x14ac:dyDescent="0.3">
      <c r="A27" s="315" t="s">
        <v>86</v>
      </c>
      <c r="B27" s="383">
        <f>SUM('Blood sample &amp; packaging'!F8,Centrifuge!F8,'Running Machine'!G8,'Quality Assurance'!G8,Training!E8,'Capital &amp; Overheads'!G8)</f>
        <v>0</v>
      </c>
      <c r="C27" s="383">
        <f>((($C$4-$B$4)/$C$4)*B27)+B27</f>
        <v>0</v>
      </c>
      <c r="D27" s="383">
        <f t="shared" si="16"/>
        <v>0</v>
      </c>
      <c r="E27" s="383">
        <f t="shared" si="16"/>
        <v>0</v>
      </c>
      <c r="F27" s="383">
        <f t="shared" si="16"/>
        <v>0</v>
      </c>
      <c r="G27" s="383">
        <f t="shared" si="16"/>
        <v>0</v>
      </c>
      <c r="H27" s="383">
        <f t="shared" si="16"/>
        <v>0</v>
      </c>
      <c r="I27" s="383">
        <f t="shared" si="16"/>
        <v>0</v>
      </c>
      <c r="J27" s="383">
        <f t="shared" si="16"/>
        <v>0</v>
      </c>
      <c r="K27" s="383">
        <f t="shared" si="16"/>
        <v>0</v>
      </c>
      <c r="L27" s="383">
        <f t="shared" si="16"/>
        <v>0</v>
      </c>
    </row>
    <row r="28" spans="1:12" x14ac:dyDescent="0.25">
      <c r="A28" s="110" t="s">
        <v>321</v>
      </c>
      <c r="B28" s="384">
        <f>SUM(B21:B27)</f>
        <v>24.944144361557363</v>
      </c>
      <c r="C28" s="384">
        <f t="shared" ref="C28:L28" si="17">SUM(C21:C27)</f>
        <v>25.065678885154956</v>
      </c>
      <c r="D28" s="384">
        <f t="shared" si="17"/>
        <v>25.070332789356563</v>
      </c>
      <c r="E28" s="384">
        <f t="shared" si="17"/>
        <v>24.975346997742925</v>
      </c>
      <c r="F28" s="384">
        <f t="shared" si="17"/>
        <v>24.865921932280102</v>
      </c>
      <c r="G28" s="384">
        <f t="shared" si="17"/>
        <v>24.793596583165094</v>
      </c>
      <c r="H28" s="384">
        <f t="shared" si="17"/>
        <v>24.766806095255586</v>
      </c>
      <c r="I28" s="384">
        <f t="shared" si="17"/>
        <v>24.745107395244485</v>
      </c>
      <c r="J28" s="384">
        <f t="shared" si="17"/>
        <v>24.73253642531288</v>
      </c>
      <c r="K28" s="384">
        <f t="shared" si="17"/>
        <v>24.74029033564824</v>
      </c>
      <c r="L28" s="384">
        <f t="shared" si="17"/>
        <v>24.773338210149273</v>
      </c>
    </row>
    <row r="29" spans="1:12" ht="15.75" thickBot="1" x14ac:dyDescent="0.3">
      <c r="A29" s="110"/>
      <c r="B29" s="316"/>
      <c r="C29" s="316"/>
      <c r="D29" s="316"/>
      <c r="E29" s="316"/>
      <c r="F29" s="316"/>
      <c r="G29" s="316"/>
      <c r="H29" s="316"/>
      <c r="I29" s="316"/>
      <c r="J29" s="316"/>
      <c r="K29" s="316"/>
      <c r="L29" s="316"/>
    </row>
    <row r="30" spans="1:12" ht="19.5" thickBot="1" x14ac:dyDescent="0.35">
      <c r="A30" s="308" t="s">
        <v>491</v>
      </c>
      <c r="B30" s="499" t="s">
        <v>534</v>
      </c>
    </row>
    <row r="31" spans="1:12" x14ac:dyDescent="0.25">
      <c r="A31" s="309" t="str">
        <f>'Set up'!B19</f>
        <v>Abbott M2000 RealTime</v>
      </c>
      <c r="B31" s="310"/>
      <c r="C31" s="310"/>
      <c r="D31" s="310"/>
      <c r="E31" s="310"/>
      <c r="F31" s="310"/>
      <c r="G31" s="310"/>
      <c r="H31" s="310"/>
      <c r="I31" s="310"/>
      <c r="J31" s="310"/>
      <c r="K31" s="310"/>
      <c r="L31" s="311"/>
    </row>
    <row r="32" spans="1:12" x14ac:dyDescent="0.25">
      <c r="A32" s="312"/>
      <c r="B32" s="313">
        <f>B20</f>
        <v>2015</v>
      </c>
      <c r="C32" s="313">
        <f t="shared" ref="C32:L32" si="18">C20</f>
        <v>2016</v>
      </c>
      <c r="D32" s="313">
        <f t="shared" si="18"/>
        <v>2017</v>
      </c>
      <c r="E32" s="313">
        <f t="shared" si="18"/>
        <v>2018</v>
      </c>
      <c r="F32" s="313">
        <f t="shared" si="18"/>
        <v>2019</v>
      </c>
      <c r="G32" s="313">
        <f t="shared" si="18"/>
        <v>2020</v>
      </c>
      <c r="H32" s="313">
        <f t="shared" si="18"/>
        <v>2021</v>
      </c>
      <c r="I32" s="313">
        <f t="shared" si="18"/>
        <v>2022</v>
      </c>
      <c r="J32" s="313">
        <f t="shared" si="18"/>
        <v>2023</v>
      </c>
      <c r="K32" s="313">
        <f t="shared" si="18"/>
        <v>2024</v>
      </c>
      <c r="L32" s="313">
        <f t="shared" si="18"/>
        <v>2025</v>
      </c>
    </row>
    <row r="33" spans="1:12" x14ac:dyDescent="0.25">
      <c r="A33" s="312" t="s">
        <v>70</v>
      </c>
      <c r="B33" s="383">
        <f>SUM('Blood sample &amp; packaging'!C9,Centrifuge!C9,'Running Machine'!C9,'Quality Assurance'!C9,Training!C9,Transport!D10,Transport!C10)</f>
        <v>5.194709947986782</v>
      </c>
      <c r="C33" s="383">
        <f t="shared" ref="C33:L33" si="19">(((C5-B5)/C5)*B33)+B33</f>
        <v>5.2200199602127073</v>
      </c>
      <c r="D33" s="383">
        <f t="shared" si="19"/>
        <v>5.2203821401150012</v>
      </c>
      <c r="E33" s="383">
        <f t="shared" si="19"/>
        <v>5.1994760470318813</v>
      </c>
      <c r="F33" s="383">
        <f t="shared" si="19"/>
        <v>5.175485220765732</v>
      </c>
      <c r="G33" s="383">
        <f t="shared" si="19"/>
        <v>5.1594091463836955</v>
      </c>
      <c r="H33" s="383">
        <f t="shared" si="19"/>
        <v>5.1530480453664964</v>
      </c>
      <c r="I33" s="383">
        <f t="shared" si="19"/>
        <v>5.1477705034884718</v>
      </c>
      <c r="J33" s="383">
        <f t="shared" si="19"/>
        <v>5.1444378600791127</v>
      </c>
      <c r="K33" s="383">
        <f t="shared" si="19"/>
        <v>5.1454398061914262</v>
      </c>
      <c r="L33" s="383">
        <f t="shared" si="19"/>
        <v>5.1518368329952171</v>
      </c>
    </row>
    <row r="34" spans="1:12" x14ac:dyDescent="0.25">
      <c r="A34" s="312" t="s">
        <v>486</v>
      </c>
      <c r="B34" s="383">
        <f>SUM('Blood sample &amp; packaging'!D9,Centrifuge!D9,'Running Machine'!D9,'Quality Assurance'!D9,Transport!H10,Transport!G10,'Unit costs'!E17)</f>
        <v>0.35470385015608741</v>
      </c>
      <c r="C34" s="383">
        <f t="shared" ref="C34:L34" si="20">(((C5-B5)/C5)*B34)+B34</f>
        <v>0.356432061908798</v>
      </c>
      <c r="D34" s="383">
        <f t="shared" si="20"/>
        <v>0.35645679218384302</v>
      </c>
      <c r="E34" s="383">
        <f t="shared" si="20"/>
        <v>0.35502928770668196</v>
      </c>
      <c r="F34" s="383">
        <f t="shared" si="20"/>
        <v>0.35339115227078011</v>
      </c>
      <c r="G34" s="383">
        <f t="shared" si="20"/>
        <v>0.3522934498897427</v>
      </c>
      <c r="H34" s="383">
        <f t="shared" si="20"/>
        <v>0.3518591028242426</v>
      </c>
      <c r="I34" s="383">
        <f t="shared" si="20"/>
        <v>0.35149874306551904</v>
      </c>
      <c r="J34" s="383">
        <f t="shared" si="20"/>
        <v>0.3512711843643917</v>
      </c>
      <c r="K34" s="383">
        <f t="shared" si="20"/>
        <v>0.35133959899143441</v>
      </c>
      <c r="L34" s="383">
        <f t="shared" si="20"/>
        <v>0.35177639913226533</v>
      </c>
    </row>
    <row r="35" spans="1:12" x14ac:dyDescent="0.25">
      <c r="A35" s="312" t="s">
        <v>71</v>
      </c>
      <c r="B35" s="383">
        <f>SUM('Blood sample &amp; packaging'!E9,Centrifuge!E9,'Running Machine'!E9,'Quality Assurance'!E9,Transport!J10,Transport!I10)</f>
        <v>2.6971055460355298</v>
      </c>
      <c r="C35" s="383">
        <f t="shared" ref="C35:L35" si="21">(((C5-B5)/C5)*B35)+B35</f>
        <v>2.7102465635376185</v>
      </c>
      <c r="D35" s="383">
        <f t="shared" si="21"/>
        <v>2.7104346081893738</v>
      </c>
      <c r="E35" s="383">
        <f t="shared" si="21"/>
        <v>2.6995801157990393</v>
      </c>
      <c r="F35" s="383">
        <f t="shared" si="21"/>
        <v>2.6871240227304583</v>
      </c>
      <c r="G35" s="383">
        <f t="shared" si="21"/>
        <v>2.6787772873384132</v>
      </c>
      <c r="H35" s="383">
        <f t="shared" si="21"/>
        <v>2.6754745888231612</v>
      </c>
      <c r="I35" s="383">
        <f t="shared" si="21"/>
        <v>2.6727344767454557</v>
      </c>
      <c r="J35" s="383">
        <f t="shared" si="21"/>
        <v>2.6710041604982848</v>
      </c>
      <c r="K35" s="383">
        <f t="shared" si="21"/>
        <v>2.6715243732615397</v>
      </c>
      <c r="L35" s="383">
        <f t="shared" si="21"/>
        <v>2.6748457245291553</v>
      </c>
    </row>
    <row r="36" spans="1:12" x14ac:dyDescent="0.25">
      <c r="A36" s="312" t="s">
        <v>438</v>
      </c>
      <c r="B36" s="383">
        <f>(SUM('Running Machine'!F9,'Quality Assurance'!F9))</f>
        <v>16.311966793602998</v>
      </c>
      <c r="C36" s="383">
        <f t="shared" ref="C36:L36" si="22">(((C5-B5)/C5)*B36)+B36</f>
        <v>16.391443046003765</v>
      </c>
      <c r="D36" s="383">
        <f t="shared" si="22"/>
        <v>16.392580331164762</v>
      </c>
      <c r="E36" s="383">
        <f t="shared" si="22"/>
        <v>16.326932874507825</v>
      </c>
      <c r="F36" s="383">
        <f t="shared" si="22"/>
        <v>16.251599012690154</v>
      </c>
      <c r="G36" s="383">
        <f t="shared" si="22"/>
        <v>16.201118351764535</v>
      </c>
      <c r="H36" s="383">
        <f t="shared" si="22"/>
        <v>16.181143787332211</v>
      </c>
      <c r="I36" s="383">
        <f t="shared" si="22"/>
        <v>16.164571719068892</v>
      </c>
      <c r="J36" s="383">
        <f t="shared" si="22"/>
        <v>16.154106848234388</v>
      </c>
      <c r="K36" s="383">
        <f t="shared" si="22"/>
        <v>16.15725307042517</v>
      </c>
      <c r="L36" s="383">
        <f t="shared" si="22"/>
        <v>16.177340445821685</v>
      </c>
    </row>
    <row r="37" spans="1:12" x14ac:dyDescent="0.25">
      <c r="A37" s="312" t="s">
        <v>487</v>
      </c>
      <c r="B37" s="385">
        <f>SUM('Capital &amp; Overheads'!C9,Transport!E11,Transport!F11)</f>
        <v>0.10589295026540993</v>
      </c>
      <c r="C37" s="383">
        <f t="shared" ref="C37:L37" si="23">(((C5-B5)/C5)*B37)+B37</f>
        <v>0.10640888895932979</v>
      </c>
      <c r="D37" s="383">
        <f t="shared" si="23"/>
        <v>0.10641627191213461</v>
      </c>
      <c r="E37" s="383">
        <f t="shared" si="23"/>
        <v>0.10599010608242301</v>
      </c>
      <c r="F37" s="383">
        <f t="shared" si="23"/>
        <v>0.10550105868650209</v>
      </c>
      <c r="G37" s="383">
        <f t="shared" si="23"/>
        <v>0.10517335166107716</v>
      </c>
      <c r="H37" s="383">
        <f t="shared" si="23"/>
        <v>0.10504368210100701</v>
      </c>
      <c r="I37" s="383">
        <f t="shared" si="23"/>
        <v>0.10493610064117403</v>
      </c>
      <c r="J37" s="383">
        <f t="shared" si="23"/>
        <v>0.10486816548284313</v>
      </c>
      <c r="K37" s="383">
        <f t="shared" si="23"/>
        <v>0.10488858992056961</v>
      </c>
      <c r="L37" s="383">
        <f t="shared" si="23"/>
        <v>0.10501899181941728</v>
      </c>
    </row>
    <row r="38" spans="1:12" x14ac:dyDescent="0.25">
      <c r="A38" s="312" t="s">
        <v>488</v>
      </c>
      <c r="B38" s="385">
        <f>SUM('Capital &amp; Overheads'!D9:G9,Training!D9)</f>
        <v>0.49804484340302818</v>
      </c>
      <c r="C38" s="383">
        <f>((($C$5-$B$5)/$C$5)*B38)+B38</f>
        <v>0.50047145070195442</v>
      </c>
      <c r="D38" s="383">
        <f t="shared" ref="D38:L38" si="24">(((D5-C5)/D5)*C38)+C38</f>
        <v>0.5005061748414209</v>
      </c>
      <c r="E38" s="383">
        <f t="shared" si="24"/>
        <v>0.49850179500885933</v>
      </c>
      <c r="F38" s="383">
        <f t="shared" si="24"/>
        <v>0.49620166517861458</v>
      </c>
      <c r="G38" s="383">
        <f t="shared" si="24"/>
        <v>0.49466036527384522</v>
      </c>
      <c r="H38" s="383">
        <f t="shared" si="24"/>
        <v>0.49405049223151881</v>
      </c>
      <c r="I38" s="383">
        <f t="shared" si="24"/>
        <v>0.49354450584449977</v>
      </c>
      <c r="J38" s="383">
        <f t="shared" si="24"/>
        <v>0.49322498735712478</v>
      </c>
      <c r="K38" s="383">
        <f t="shared" si="24"/>
        <v>0.49332104933163384</v>
      </c>
      <c r="L38" s="383">
        <f t="shared" si="24"/>
        <v>0.49393436677276908</v>
      </c>
    </row>
    <row r="39" spans="1:12" ht="15.75" thickBot="1" x14ac:dyDescent="0.3">
      <c r="A39" s="315" t="s">
        <v>86</v>
      </c>
      <c r="B39" s="383">
        <f>SUM('Blood sample &amp; packaging'!F9,Centrifuge!F9,'Running Machine'!G9,'Quality Assurance'!G9,Training!E9,'Capital &amp; Overheads'!G9)</f>
        <v>0</v>
      </c>
      <c r="C39" s="383">
        <f>((($C$5-$B$5)/$C$5)*B39)+B39</f>
        <v>0</v>
      </c>
      <c r="D39" s="383">
        <f t="shared" ref="D39:L39" si="25">((($C$5-$B$5)/$C$5)*C39)+C39</f>
        <v>0</v>
      </c>
      <c r="E39" s="383">
        <f t="shared" si="25"/>
        <v>0</v>
      </c>
      <c r="F39" s="383">
        <f t="shared" si="25"/>
        <v>0</v>
      </c>
      <c r="G39" s="383">
        <f t="shared" si="25"/>
        <v>0</v>
      </c>
      <c r="H39" s="383">
        <f t="shared" si="25"/>
        <v>0</v>
      </c>
      <c r="I39" s="383">
        <f t="shared" si="25"/>
        <v>0</v>
      </c>
      <c r="J39" s="383">
        <f t="shared" si="25"/>
        <v>0</v>
      </c>
      <c r="K39" s="383">
        <f t="shared" si="25"/>
        <v>0</v>
      </c>
      <c r="L39" s="383">
        <f t="shared" si="25"/>
        <v>0</v>
      </c>
    </row>
    <row r="40" spans="1:12" x14ac:dyDescent="0.25">
      <c r="A40" s="110" t="s">
        <v>321</v>
      </c>
      <c r="B40" s="386">
        <f>SUM(B33:B39)</f>
        <v>25.162423931449837</v>
      </c>
      <c r="C40" s="386">
        <f t="shared" ref="C40:L40" si="26">SUM(C33:C39)</f>
        <v>25.285021971324174</v>
      </c>
      <c r="D40" s="386">
        <f t="shared" si="26"/>
        <v>25.286776318406535</v>
      </c>
      <c r="E40" s="386">
        <f t="shared" si="26"/>
        <v>25.18551022613671</v>
      </c>
      <c r="F40" s="386">
        <f t="shared" si="26"/>
        <v>25.069302132322242</v>
      </c>
      <c r="G40" s="386">
        <f t="shared" si="26"/>
        <v>24.991431952311306</v>
      </c>
      <c r="H40" s="386">
        <f t="shared" si="26"/>
        <v>24.960619698678638</v>
      </c>
      <c r="I40" s="386">
        <f t="shared" si="26"/>
        <v>24.935056048854015</v>
      </c>
      <c r="J40" s="386">
        <f t="shared" si="26"/>
        <v>24.918913206016143</v>
      </c>
      <c r="K40" s="386">
        <f t="shared" si="26"/>
        <v>24.923766488121775</v>
      </c>
      <c r="L40" s="386">
        <f t="shared" si="26"/>
        <v>24.954752761070509</v>
      </c>
    </row>
    <row r="41" spans="1:12" ht="15.75" thickBot="1" x14ac:dyDescent="0.3">
      <c r="A41" s="110"/>
      <c r="B41" s="317"/>
      <c r="C41" s="317"/>
      <c r="D41" s="317"/>
      <c r="E41" s="317"/>
      <c r="F41" s="317"/>
      <c r="G41" s="317"/>
      <c r="H41" s="317"/>
      <c r="I41" s="317"/>
      <c r="J41" s="317"/>
      <c r="K41" s="317"/>
      <c r="L41" s="317"/>
    </row>
    <row r="42" spans="1:12" ht="19.5" thickBot="1" x14ac:dyDescent="0.35">
      <c r="A42" s="308" t="s">
        <v>492</v>
      </c>
      <c r="B42" s="499" t="s">
        <v>534</v>
      </c>
    </row>
    <row r="43" spans="1:12" x14ac:dyDescent="0.25">
      <c r="A43" s="309" t="str">
        <f>'Set up'!B20</f>
        <v>Roche COBAS Ampliprep/TaqMan 48</v>
      </c>
      <c r="B43" s="310"/>
      <c r="C43" s="310"/>
      <c r="D43" s="310"/>
      <c r="E43" s="310"/>
      <c r="F43" s="310"/>
      <c r="G43" s="310"/>
      <c r="H43" s="310"/>
      <c r="I43" s="310"/>
      <c r="J43" s="310"/>
      <c r="K43" s="310"/>
      <c r="L43" s="311"/>
    </row>
    <row r="44" spans="1:12" x14ac:dyDescent="0.25">
      <c r="A44" s="312"/>
      <c r="B44" s="313">
        <f>B32</f>
        <v>2015</v>
      </c>
      <c r="C44" s="313">
        <f t="shared" ref="C44:L44" si="27">C32</f>
        <v>2016</v>
      </c>
      <c r="D44" s="313">
        <f t="shared" si="27"/>
        <v>2017</v>
      </c>
      <c r="E44" s="313">
        <f t="shared" si="27"/>
        <v>2018</v>
      </c>
      <c r="F44" s="313">
        <f t="shared" si="27"/>
        <v>2019</v>
      </c>
      <c r="G44" s="313">
        <f t="shared" si="27"/>
        <v>2020</v>
      </c>
      <c r="H44" s="313">
        <f t="shared" si="27"/>
        <v>2021</v>
      </c>
      <c r="I44" s="313">
        <f t="shared" si="27"/>
        <v>2022</v>
      </c>
      <c r="J44" s="313">
        <f t="shared" si="27"/>
        <v>2023</v>
      </c>
      <c r="K44" s="313">
        <f t="shared" si="27"/>
        <v>2024</v>
      </c>
      <c r="L44" s="313">
        <f t="shared" si="27"/>
        <v>2025</v>
      </c>
    </row>
    <row r="45" spans="1:12" x14ac:dyDescent="0.25">
      <c r="A45" s="312" t="s">
        <v>70</v>
      </c>
      <c r="B45" s="387">
        <f>SUM('Blood sample &amp; packaging'!C10,Centrifuge!C10,'Running Machine'!C10,'Quality Assurance'!C10,Training!C10,Transport!D11,Transport!C11)</f>
        <v>5.3914845656933386</v>
      </c>
      <c r="C45" s="383">
        <f t="shared" ref="C45:L45" si="28">(((C6-B6)/C6)*B45)+B45</f>
        <v>5.4177533163338749</v>
      </c>
      <c r="D45" s="383">
        <f t="shared" si="28"/>
        <v>5.4181292155414873</v>
      </c>
      <c r="E45" s="383">
        <f t="shared" si="28"/>
        <v>5.396431203657249</v>
      </c>
      <c r="F45" s="383">
        <f t="shared" si="28"/>
        <v>5.371531609487934</v>
      </c>
      <c r="G45" s="383">
        <f t="shared" si="28"/>
        <v>5.3548465764879145</v>
      </c>
      <c r="H45" s="383">
        <f t="shared" si="28"/>
        <v>5.3482445181827458</v>
      </c>
      <c r="I45" s="383">
        <f t="shared" si="28"/>
        <v>5.3427670640293723</v>
      </c>
      <c r="J45" s="383">
        <f t="shared" si="28"/>
        <v>5.3393081807260838</v>
      </c>
      <c r="K45" s="383">
        <f t="shared" si="28"/>
        <v>5.340348080365195</v>
      </c>
      <c r="L45" s="383">
        <f t="shared" si="28"/>
        <v>5.3469874253188676</v>
      </c>
    </row>
    <row r="46" spans="1:12" x14ac:dyDescent="0.25">
      <c r="A46" s="312" t="s">
        <v>486</v>
      </c>
      <c r="B46" s="387">
        <f>SUM('Blood sample &amp; packaging'!D10,Centrifuge!D10,'Running Machine'!D10,'Quality Assurance'!D10,Transport!H11,Transport!G11,'Unit costs'!E18)</f>
        <v>0.15585170068027213</v>
      </c>
      <c r="C46" s="383">
        <f t="shared" ref="C46:L46" si="29">(((C6-B6)/C6)*B46)+B46</f>
        <v>0.15661105172954051</v>
      </c>
      <c r="D46" s="383">
        <f t="shared" si="29"/>
        <v>0.15662191785186302</v>
      </c>
      <c r="E46" s="383">
        <f t="shared" si="29"/>
        <v>0.15599469319558612</v>
      </c>
      <c r="F46" s="383">
        <f t="shared" si="29"/>
        <v>0.15527492036673868</v>
      </c>
      <c r="G46" s="383">
        <f t="shared" si="29"/>
        <v>0.15479260594345234</v>
      </c>
      <c r="H46" s="383">
        <f t="shared" si="29"/>
        <v>0.15460176017503482</v>
      </c>
      <c r="I46" s="383">
        <f t="shared" si="29"/>
        <v>0.15444342335058511</v>
      </c>
      <c r="J46" s="383">
        <f t="shared" si="29"/>
        <v>0.15434343737479242</v>
      </c>
      <c r="K46" s="383">
        <f t="shared" si="29"/>
        <v>0.15437349776452691</v>
      </c>
      <c r="L46" s="383">
        <f t="shared" si="29"/>
        <v>0.15456542137848236</v>
      </c>
    </row>
    <row r="47" spans="1:12" x14ac:dyDescent="0.25">
      <c r="A47" s="312" t="s">
        <v>71</v>
      </c>
      <c r="B47" s="387">
        <f>SUM('Blood sample &amp; packaging'!E10,Centrifuge!E10,'Running Machine'!E10,'Quality Assurance'!E10,Transport!J11,Transport!I11)</f>
        <v>2.9681331637054238</v>
      </c>
      <c r="C47" s="383">
        <f t="shared" ref="C47:L47" si="30">(((C6-B6)/C6)*B47)+B47</f>
        <v>2.9825947000402233</v>
      </c>
      <c r="D47" s="383">
        <f t="shared" si="30"/>
        <v>2.9828016409839893</v>
      </c>
      <c r="E47" s="383">
        <f t="shared" si="30"/>
        <v>2.9708563988386474</v>
      </c>
      <c r="F47" s="383">
        <f t="shared" si="30"/>
        <v>2.9571486138461762</v>
      </c>
      <c r="G47" s="383">
        <f t="shared" si="30"/>
        <v>2.9479631289984587</v>
      </c>
      <c r="H47" s="383">
        <f t="shared" si="30"/>
        <v>2.9443285478426526</v>
      </c>
      <c r="I47" s="383">
        <f t="shared" si="30"/>
        <v>2.9413130864929613</v>
      </c>
      <c r="J47" s="383">
        <f t="shared" si="30"/>
        <v>2.9394088936650333</v>
      </c>
      <c r="K47" s="383">
        <f t="shared" si="30"/>
        <v>2.9399813817373186</v>
      </c>
      <c r="L47" s="383">
        <f t="shared" si="30"/>
        <v>2.9436364900293226</v>
      </c>
    </row>
    <row r="48" spans="1:12" x14ac:dyDescent="0.25">
      <c r="A48" s="312" t="s">
        <v>438</v>
      </c>
      <c r="B48" s="387">
        <f>IFERROR(SUM('Running Machine'!F10,'Quality Assurance'!F10),"")</f>
        <v>20.342261904761909</v>
      </c>
      <c r="C48" s="383">
        <f t="shared" ref="C48:L48" si="31">(((C6-B6)/C6)*B48)+B48</f>
        <v>20.441374829769785</v>
      </c>
      <c r="D48" s="383">
        <f t="shared" si="31"/>
        <v>20.442793110771589</v>
      </c>
      <c r="E48" s="383">
        <f t="shared" si="31"/>
        <v>20.360925744708741</v>
      </c>
      <c r="F48" s="383">
        <f t="shared" si="31"/>
        <v>20.266978695479018</v>
      </c>
      <c r="G48" s="383">
        <f t="shared" si="31"/>
        <v>20.204025476001082</v>
      </c>
      <c r="H48" s="383">
        <f t="shared" si="31"/>
        <v>20.179115676572398</v>
      </c>
      <c r="I48" s="383">
        <f t="shared" si="31"/>
        <v>20.158449048373505</v>
      </c>
      <c r="J48" s="383">
        <f t="shared" si="31"/>
        <v>20.145398559366967</v>
      </c>
      <c r="K48" s="383">
        <f t="shared" si="31"/>
        <v>20.149322137475316</v>
      </c>
      <c r="L48" s="383">
        <f t="shared" si="31"/>
        <v>20.174372620747228</v>
      </c>
    </row>
    <row r="49" spans="1:12" x14ac:dyDescent="0.25">
      <c r="A49" s="312" t="s">
        <v>487</v>
      </c>
      <c r="B49" s="387">
        <f>SUM('Capital &amp; Overheads'!C10,Transport!E11,Transport!F11)</f>
        <v>0.11723862350813243</v>
      </c>
      <c r="C49" s="383">
        <f t="shared" ref="C49:L49" si="32">(((C6-B6)/C6)*B49)+B49</f>
        <v>0.11780984134782939</v>
      </c>
      <c r="D49" s="383">
        <f t="shared" si="32"/>
        <v>0.11781801533129188</v>
      </c>
      <c r="E49" s="383">
        <f t="shared" si="32"/>
        <v>0.11734618887696835</v>
      </c>
      <c r="F49" s="383">
        <f t="shared" si="32"/>
        <v>0.11680474354577018</v>
      </c>
      <c r="G49" s="383">
        <f t="shared" si="32"/>
        <v>0.11644192505333543</v>
      </c>
      <c r="H49" s="383">
        <f t="shared" si="32"/>
        <v>0.11629836232611487</v>
      </c>
      <c r="I49" s="383">
        <f t="shared" si="32"/>
        <v>0.11617925428129978</v>
      </c>
      <c r="J49" s="383">
        <f t="shared" si="32"/>
        <v>0.11610404035600486</v>
      </c>
      <c r="K49" s="383">
        <f t="shared" si="32"/>
        <v>0.1161266531263449</v>
      </c>
      <c r="L49" s="383">
        <f t="shared" si="32"/>
        <v>0.11627102665721194</v>
      </c>
    </row>
    <row r="50" spans="1:12" ht="15.75" thickBot="1" x14ac:dyDescent="0.3">
      <c r="A50" s="315" t="s">
        <v>488</v>
      </c>
      <c r="B50" s="388">
        <f>SUM('Capital &amp; Overheads'!D10:G10,Training!D10)</f>
        <v>0.52719184392388829</v>
      </c>
      <c r="C50" s="383">
        <f>((($C$6-$B$6)/$C$6)*B50)+B50</f>
        <v>0.52976046318246539</v>
      </c>
      <c r="D50" s="383">
        <f t="shared" ref="D50:L50" si="33">(((D6-C6)/D6)*C50)+C50</f>
        <v>0.52979721947731817</v>
      </c>
      <c r="E50" s="383">
        <f t="shared" si="33"/>
        <v>0.52767553763712116</v>
      </c>
      <c r="F50" s="383">
        <f t="shared" si="33"/>
        <v>0.5252407976683553</v>
      </c>
      <c r="G50" s="383">
        <f t="shared" si="33"/>
        <v>0.52360929651018029</v>
      </c>
      <c r="H50" s="383">
        <f t="shared" si="33"/>
        <v>0.52296373196312729</v>
      </c>
      <c r="I50" s="383">
        <f t="shared" si="33"/>
        <v>0.52242813381387165</v>
      </c>
      <c r="J50" s="383">
        <f t="shared" si="33"/>
        <v>0.5220899161960042</v>
      </c>
      <c r="K50" s="383">
        <f t="shared" si="33"/>
        <v>0.52219159999043196</v>
      </c>
      <c r="L50" s="383">
        <f t="shared" si="33"/>
        <v>0.5228408105123068</v>
      </c>
    </row>
    <row r="51" spans="1:12" ht="15.75" thickBot="1" x14ac:dyDescent="0.3">
      <c r="A51" s="315" t="s">
        <v>86</v>
      </c>
      <c r="B51" s="383">
        <f>SUM('Blood sample &amp; packaging'!F10,Centrifuge!F10,'Running Machine'!G10,'Quality Assurance'!G10,Training!E10,'Capital &amp; Overheads'!G10)</f>
        <v>0</v>
      </c>
      <c r="C51" s="383">
        <f>((($C$6-$B$6)/$C$6)*B51)+B51</f>
        <v>0</v>
      </c>
      <c r="D51" s="383">
        <f t="shared" ref="D51:L51" si="34">((($C$6-$B$6)/$C$6)*C51)+C51</f>
        <v>0</v>
      </c>
      <c r="E51" s="383">
        <f t="shared" si="34"/>
        <v>0</v>
      </c>
      <c r="F51" s="383">
        <f t="shared" si="34"/>
        <v>0</v>
      </c>
      <c r="G51" s="383">
        <f t="shared" si="34"/>
        <v>0</v>
      </c>
      <c r="H51" s="383">
        <f t="shared" si="34"/>
        <v>0</v>
      </c>
      <c r="I51" s="383">
        <f t="shared" si="34"/>
        <v>0</v>
      </c>
      <c r="J51" s="383">
        <f t="shared" si="34"/>
        <v>0</v>
      </c>
      <c r="K51" s="383">
        <f t="shared" si="34"/>
        <v>0</v>
      </c>
      <c r="L51" s="383">
        <f t="shared" si="34"/>
        <v>0</v>
      </c>
    </row>
    <row r="52" spans="1:12" x14ac:dyDescent="0.25">
      <c r="A52" s="110" t="s">
        <v>321</v>
      </c>
      <c r="B52" s="389">
        <f>SUM(B45:B51)</f>
        <v>29.502161802272962</v>
      </c>
      <c r="C52" s="389">
        <f t="shared" ref="C52:L52" si="35">SUM(C45:C51)</f>
        <v>29.645904202403717</v>
      </c>
      <c r="D52" s="389">
        <f t="shared" si="35"/>
        <v>29.647961119957539</v>
      </c>
      <c r="E52" s="389">
        <f t="shared" si="35"/>
        <v>29.529229766914316</v>
      </c>
      <c r="F52" s="389">
        <f t="shared" si="35"/>
        <v>29.392979380393992</v>
      </c>
      <c r="G52" s="389">
        <f t="shared" si="35"/>
        <v>29.301679008994427</v>
      </c>
      <c r="H52" s="389">
        <f t="shared" si="35"/>
        <v>29.265552597062076</v>
      </c>
      <c r="I52" s="389">
        <f t="shared" si="35"/>
        <v>29.235580010341597</v>
      </c>
      <c r="J52" s="389">
        <f t="shared" si="35"/>
        <v>29.216653027684888</v>
      </c>
      <c r="K52" s="389">
        <f t="shared" si="35"/>
        <v>29.222343350459131</v>
      </c>
      <c r="L52" s="389">
        <f t="shared" si="35"/>
        <v>29.258673794643418</v>
      </c>
    </row>
    <row r="53" spans="1:12" ht="15.75" thickBot="1" x14ac:dyDescent="0.3">
      <c r="A53" s="110"/>
      <c r="B53" s="318"/>
      <c r="C53" s="318"/>
      <c r="D53" s="318"/>
      <c r="E53" s="318"/>
      <c r="F53" s="318"/>
      <c r="G53" s="318"/>
      <c r="H53" s="318"/>
      <c r="I53" s="318"/>
      <c r="J53" s="318"/>
      <c r="K53" s="318"/>
      <c r="L53" s="318"/>
    </row>
    <row r="54" spans="1:12" ht="19.5" thickBot="1" x14ac:dyDescent="0.35">
      <c r="A54" s="308" t="s">
        <v>493</v>
      </c>
      <c r="B54" s="499" t="s">
        <v>534</v>
      </c>
    </row>
    <row r="55" spans="1:12" x14ac:dyDescent="0.25">
      <c r="A55" s="309" t="str">
        <f>'Set up'!B21</f>
        <v>Roche COBAS Ampliprep/TaqMan 48</v>
      </c>
      <c r="B55" s="310"/>
      <c r="C55" s="310"/>
      <c r="D55" s="310"/>
      <c r="E55" s="310"/>
      <c r="F55" s="310"/>
      <c r="G55" s="310"/>
      <c r="H55" s="310"/>
      <c r="I55" s="310"/>
      <c r="J55" s="310"/>
      <c r="K55" s="310"/>
      <c r="L55" s="311"/>
    </row>
    <row r="56" spans="1:12" x14ac:dyDescent="0.25">
      <c r="A56" s="312"/>
      <c r="B56" s="313">
        <f>B44</f>
        <v>2015</v>
      </c>
      <c r="C56" s="313">
        <f t="shared" ref="C56:L56" si="36">C44</f>
        <v>2016</v>
      </c>
      <c r="D56" s="313">
        <f t="shared" si="36"/>
        <v>2017</v>
      </c>
      <c r="E56" s="313">
        <f t="shared" si="36"/>
        <v>2018</v>
      </c>
      <c r="F56" s="313">
        <f t="shared" si="36"/>
        <v>2019</v>
      </c>
      <c r="G56" s="313">
        <f t="shared" si="36"/>
        <v>2020</v>
      </c>
      <c r="H56" s="313">
        <f t="shared" si="36"/>
        <v>2021</v>
      </c>
      <c r="I56" s="313">
        <f t="shared" si="36"/>
        <v>2022</v>
      </c>
      <c r="J56" s="313">
        <f t="shared" si="36"/>
        <v>2023</v>
      </c>
      <c r="K56" s="313">
        <f t="shared" si="36"/>
        <v>2024</v>
      </c>
      <c r="L56" s="313">
        <f t="shared" si="36"/>
        <v>2025</v>
      </c>
    </row>
    <row r="57" spans="1:12" x14ac:dyDescent="0.25">
      <c r="A57" s="312" t="s">
        <v>70</v>
      </c>
      <c r="B57" s="387">
        <f>SUM('Blood sample &amp; packaging'!C11,Centrifuge!C11,'Running Machine'!C11,'Quality Assurance'!C11,Training!C11,Transport!D12,Transport!C12)</f>
        <v>5.3914845656933386</v>
      </c>
      <c r="C57" s="387">
        <f t="shared" ref="C57:L57" si="37">(((C7-B7)/C7)*B57)+B57</f>
        <v>5.4177533163338749</v>
      </c>
      <c r="D57" s="387">
        <f t="shared" si="37"/>
        <v>5.4181292155414873</v>
      </c>
      <c r="E57" s="387">
        <f t="shared" si="37"/>
        <v>5.396431203657249</v>
      </c>
      <c r="F57" s="387">
        <f t="shared" si="37"/>
        <v>5.371531609487934</v>
      </c>
      <c r="G57" s="387">
        <f t="shared" si="37"/>
        <v>5.3548465764879145</v>
      </c>
      <c r="H57" s="387">
        <f t="shared" si="37"/>
        <v>5.3482445181827458</v>
      </c>
      <c r="I57" s="387">
        <f t="shared" si="37"/>
        <v>5.3427670640293723</v>
      </c>
      <c r="J57" s="387">
        <f t="shared" si="37"/>
        <v>5.3393081807260838</v>
      </c>
      <c r="K57" s="387">
        <f t="shared" si="37"/>
        <v>5.340348080365195</v>
      </c>
      <c r="L57" s="387">
        <f t="shared" si="37"/>
        <v>5.3469874253188676</v>
      </c>
    </row>
    <row r="58" spans="1:12" x14ac:dyDescent="0.25">
      <c r="A58" s="312" t="s">
        <v>486</v>
      </c>
      <c r="B58" s="387">
        <f>SUM('Blood sample &amp; packaging'!D11,Centrifuge!D11,'Running Machine'!D11,'Quality Assurance'!D11,Transport!H12,Transport!G12,'Unit costs'!E19)</f>
        <v>0.5844231292517007</v>
      </c>
      <c r="C58" s="387">
        <f t="shared" ref="C58:L58" si="38">(((C7-B7)/C7)*B58)+B58</f>
        <v>0.58727059459520958</v>
      </c>
      <c r="D58" s="387">
        <f t="shared" si="38"/>
        <v>0.58731134110732874</v>
      </c>
      <c r="E58" s="387">
        <f t="shared" si="38"/>
        <v>0.58495933214775264</v>
      </c>
      <c r="F58" s="387">
        <f t="shared" si="38"/>
        <v>0.58226027986183426</v>
      </c>
      <c r="G58" s="387">
        <f t="shared" si="38"/>
        <v>0.58045166498429446</v>
      </c>
      <c r="H58" s="387">
        <f t="shared" si="38"/>
        <v>0.57973601875973502</v>
      </c>
      <c r="I58" s="387">
        <f t="shared" si="38"/>
        <v>0.57914227674718866</v>
      </c>
      <c r="J58" s="387">
        <f t="shared" si="38"/>
        <v>0.57876734264894658</v>
      </c>
      <c r="K58" s="387">
        <f t="shared" si="38"/>
        <v>0.57888006510855705</v>
      </c>
      <c r="L58" s="387">
        <f t="shared" si="38"/>
        <v>0.57959975311039191</v>
      </c>
    </row>
    <row r="59" spans="1:12" x14ac:dyDescent="0.25">
      <c r="A59" s="312" t="s">
        <v>71</v>
      </c>
      <c r="B59" s="387">
        <f>SUM('Blood sample &amp; packaging'!E11,Centrifuge!E11,'Running Machine'!E11,'Quality Assurance'!E11,Transport!J12,Transport!I12)</f>
        <v>2.9681331637054238</v>
      </c>
      <c r="C59" s="387">
        <f t="shared" ref="C59:L59" si="39">(((C7-B7)/C7)*B59)+B59</f>
        <v>2.9825947000402233</v>
      </c>
      <c r="D59" s="387">
        <f t="shared" si="39"/>
        <v>2.9828016409839893</v>
      </c>
      <c r="E59" s="387">
        <f t="shared" si="39"/>
        <v>2.9708563988386474</v>
      </c>
      <c r="F59" s="387">
        <f t="shared" si="39"/>
        <v>2.9571486138461762</v>
      </c>
      <c r="G59" s="387">
        <f t="shared" si="39"/>
        <v>2.9479631289984587</v>
      </c>
      <c r="H59" s="387">
        <f t="shared" si="39"/>
        <v>2.9443285478426526</v>
      </c>
      <c r="I59" s="387">
        <f t="shared" si="39"/>
        <v>2.9413130864929613</v>
      </c>
      <c r="J59" s="387">
        <f t="shared" si="39"/>
        <v>2.9394088936650333</v>
      </c>
      <c r="K59" s="387">
        <f t="shared" si="39"/>
        <v>2.9399813817373186</v>
      </c>
      <c r="L59" s="387">
        <f t="shared" si="39"/>
        <v>2.9436364900293226</v>
      </c>
    </row>
    <row r="60" spans="1:12" x14ac:dyDescent="0.25">
      <c r="A60" s="312" t="s">
        <v>438</v>
      </c>
      <c r="B60" s="387">
        <f>IFERROR(SUM('Running Machine'!F11,'Quality Assurance'!F11),"")</f>
        <v>20.342261904761909</v>
      </c>
      <c r="C60" s="387">
        <f t="shared" ref="C60:L60" si="40">(((C7-B7)/C7)*B60)+B60</f>
        <v>20.441374829769785</v>
      </c>
      <c r="D60" s="387">
        <f t="shared" si="40"/>
        <v>20.442793110771589</v>
      </c>
      <c r="E60" s="387">
        <f t="shared" si="40"/>
        <v>20.360925744708741</v>
      </c>
      <c r="F60" s="387">
        <f t="shared" si="40"/>
        <v>20.266978695479018</v>
      </c>
      <c r="G60" s="387">
        <f t="shared" si="40"/>
        <v>20.204025476001082</v>
      </c>
      <c r="H60" s="387">
        <f t="shared" si="40"/>
        <v>20.179115676572398</v>
      </c>
      <c r="I60" s="387">
        <f t="shared" si="40"/>
        <v>20.158449048373505</v>
      </c>
      <c r="J60" s="387">
        <f t="shared" si="40"/>
        <v>20.145398559366967</v>
      </c>
      <c r="K60" s="387">
        <f t="shared" si="40"/>
        <v>20.149322137475316</v>
      </c>
      <c r="L60" s="387">
        <f t="shared" si="40"/>
        <v>20.174372620747228</v>
      </c>
    </row>
    <row r="61" spans="1:12" x14ac:dyDescent="0.25">
      <c r="A61" s="312" t="s">
        <v>487</v>
      </c>
      <c r="B61" s="387">
        <f>SUM('Capital &amp; Overheads'!C11,Transport!E12,Transport!F12)</f>
        <v>0.11723862350813243</v>
      </c>
      <c r="C61" s="387">
        <f t="shared" ref="C61:L61" si="41">(((C7-B7)/C7)*B61)+B61</f>
        <v>0.11780984134782939</v>
      </c>
      <c r="D61" s="387">
        <f t="shared" si="41"/>
        <v>0.11781801533129188</v>
      </c>
      <c r="E61" s="387">
        <f t="shared" si="41"/>
        <v>0.11734618887696835</v>
      </c>
      <c r="F61" s="387">
        <f t="shared" si="41"/>
        <v>0.11680474354577018</v>
      </c>
      <c r="G61" s="387">
        <f t="shared" si="41"/>
        <v>0.11644192505333543</v>
      </c>
      <c r="H61" s="387">
        <f t="shared" si="41"/>
        <v>0.11629836232611487</v>
      </c>
      <c r="I61" s="387">
        <f t="shared" si="41"/>
        <v>0.11617925428129978</v>
      </c>
      <c r="J61" s="387">
        <f t="shared" si="41"/>
        <v>0.11610404035600486</v>
      </c>
      <c r="K61" s="387">
        <f t="shared" si="41"/>
        <v>0.1161266531263449</v>
      </c>
      <c r="L61" s="387">
        <f t="shared" si="41"/>
        <v>0.11627102665721194</v>
      </c>
    </row>
    <row r="62" spans="1:12" ht="15.75" thickBot="1" x14ac:dyDescent="0.3">
      <c r="A62" s="315" t="s">
        <v>488</v>
      </c>
      <c r="B62" s="388">
        <f>IFERROR(SUM('Capital &amp; Overheads'!D11,'Capital &amp; Overheads'!E11,'Capital &amp; Overheads'!F11,'Capital &amp; Overheads'!G11,Training!D11),"")</f>
        <v>0.52719184392388829</v>
      </c>
      <c r="C62" s="387">
        <f>((($C$7-$B$7)/$C$7)*B62)+B62</f>
        <v>0.52976046318246539</v>
      </c>
      <c r="D62" s="387">
        <f t="shared" ref="D62:L62" si="42">(((D7-C7)/D7)*C62)+C62</f>
        <v>0.52979721947731817</v>
      </c>
      <c r="E62" s="387">
        <f t="shared" si="42"/>
        <v>0.52767553763712116</v>
      </c>
      <c r="F62" s="387">
        <f t="shared" si="42"/>
        <v>0.5252407976683553</v>
      </c>
      <c r="G62" s="387">
        <f t="shared" si="42"/>
        <v>0.52360929651018029</v>
      </c>
      <c r="H62" s="387">
        <f t="shared" si="42"/>
        <v>0.52296373196312729</v>
      </c>
      <c r="I62" s="387">
        <f t="shared" si="42"/>
        <v>0.52242813381387165</v>
      </c>
      <c r="J62" s="387">
        <f t="shared" si="42"/>
        <v>0.5220899161960042</v>
      </c>
      <c r="K62" s="387">
        <f t="shared" si="42"/>
        <v>0.52219159999043196</v>
      </c>
      <c r="L62" s="387">
        <f t="shared" si="42"/>
        <v>0.5228408105123068</v>
      </c>
    </row>
    <row r="63" spans="1:12" ht="15.75" thickBot="1" x14ac:dyDescent="0.3">
      <c r="A63" s="315" t="s">
        <v>86</v>
      </c>
      <c r="B63" s="383">
        <f>SUM('Blood sample &amp; packaging'!F11,Centrifuge!F11,'Running Machine'!G11,'Quality Assurance'!G11,Training!E11,'Capital &amp; Overheads'!G11)</f>
        <v>0</v>
      </c>
      <c r="C63" s="387">
        <f>((($C$7-$B$7)/$C$7)*B63)+B63</f>
        <v>0</v>
      </c>
      <c r="D63" s="387">
        <f t="shared" ref="D63:L63" si="43">((($C$7-$B$7)/$C$7)*C63)+C63</f>
        <v>0</v>
      </c>
      <c r="E63" s="387">
        <f t="shared" si="43"/>
        <v>0</v>
      </c>
      <c r="F63" s="387">
        <f t="shared" si="43"/>
        <v>0</v>
      </c>
      <c r="G63" s="387">
        <f t="shared" si="43"/>
        <v>0</v>
      </c>
      <c r="H63" s="387">
        <f t="shared" si="43"/>
        <v>0</v>
      </c>
      <c r="I63" s="387">
        <f t="shared" si="43"/>
        <v>0</v>
      </c>
      <c r="J63" s="387">
        <f t="shared" si="43"/>
        <v>0</v>
      </c>
      <c r="K63" s="387">
        <f t="shared" si="43"/>
        <v>0</v>
      </c>
      <c r="L63" s="387">
        <f t="shared" si="43"/>
        <v>0</v>
      </c>
    </row>
    <row r="64" spans="1:12" x14ac:dyDescent="0.25">
      <c r="A64" s="110" t="s">
        <v>321</v>
      </c>
      <c r="B64" s="389">
        <f>SUM(B57:B63)</f>
        <v>29.930733230844393</v>
      </c>
      <c r="C64" s="389">
        <f t="shared" ref="C64:L64" si="44">SUM(C57:C63)</f>
        <v>30.076563745269386</v>
      </c>
      <c r="D64" s="389">
        <f t="shared" si="44"/>
        <v>30.078650543213005</v>
      </c>
      <c r="E64" s="389">
        <f t="shared" si="44"/>
        <v>29.958194405866482</v>
      </c>
      <c r="F64" s="389">
        <f t="shared" si="44"/>
        <v>29.819964739889091</v>
      </c>
      <c r="G64" s="389">
        <f t="shared" si="44"/>
        <v>29.727338068035266</v>
      </c>
      <c r="H64" s="389">
        <f t="shared" si="44"/>
        <v>29.690686855646774</v>
      </c>
      <c r="I64" s="389">
        <f t="shared" si="44"/>
        <v>29.660278863738199</v>
      </c>
      <c r="J64" s="389">
        <f t="shared" si="44"/>
        <v>29.641076932959042</v>
      </c>
      <c r="K64" s="389">
        <f t="shared" si="44"/>
        <v>29.646849917803163</v>
      </c>
      <c r="L64" s="389">
        <f t="shared" si="44"/>
        <v>29.683708126375329</v>
      </c>
    </row>
    <row r="66" spans="1:24" ht="18.75" x14ac:dyDescent="0.3">
      <c r="A66" s="493" t="s">
        <v>199</v>
      </c>
      <c r="B66" s="494"/>
      <c r="C66" s="319"/>
      <c r="D66" s="319"/>
      <c r="E66" s="319"/>
      <c r="F66" s="319"/>
      <c r="G66" s="319"/>
      <c r="H66" s="319"/>
      <c r="I66" s="319"/>
      <c r="J66" s="319"/>
      <c r="K66" s="319"/>
    </row>
    <row r="67" spans="1:24" ht="45" x14ac:dyDescent="0.25">
      <c r="A67" s="320"/>
      <c r="B67" s="321" t="s">
        <v>218</v>
      </c>
      <c r="C67" s="321" t="s">
        <v>218</v>
      </c>
      <c r="D67" s="321" t="s">
        <v>212</v>
      </c>
      <c r="E67" s="321" t="s">
        <v>212</v>
      </c>
    </row>
    <row r="68" spans="1:24" x14ac:dyDescent="0.25">
      <c r="A68" s="188" t="s">
        <v>489</v>
      </c>
      <c r="B68" s="322">
        <f>(((('Blood sample &amp; packaging'!C17)/60)*'Set up'!D18)/48)/40</f>
        <v>4.0364583333333339</v>
      </c>
      <c r="C68" s="322">
        <f>(((('Blood sample &amp; packaging'!D17)/60)*'Set up'!D19)/48)/40</f>
        <v>4.0364583333333339</v>
      </c>
      <c r="D68" s="322">
        <f>(((('Blood sample &amp; packaging'!E17)/60)*'Set up'!D20)/48)/40</f>
        <v>3.6458333333333335</v>
      </c>
      <c r="E68" s="322">
        <f>(((('Blood sample &amp; packaging'!F17)/60)*'Set up'!D21)/48)/40</f>
        <v>3.6458333333333335</v>
      </c>
    </row>
    <row r="69" spans="1:24" x14ac:dyDescent="0.25">
      <c r="A69" s="188" t="s">
        <v>15</v>
      </c>
      <c r="B69" s="322">
        <f>(((('Blood sample &amp; packaging'!C18)/60)*'Set up'!D18)/48)/40</f>
        <v>2.018229166666667</v>
      </c>
      <c r="C69" s="322">
        <f>(((('Blood sample &amp; packaging'!D18)/60)*'Set up'!$D$19)/48)/40</f>
        <v>2.018229166666667</v>
      </c>
      <c r="D69" s="322">
        <f>(((('Blood sample &amp; packaging'!E18)/60)*'Set up'!$D$20)/48)/40</f>
        <v>1.8229166666666667</v>
      </c>
      <c r="E69" s="322">
        <f>(((('Blood sample &amp; packaging'!F18)/60)*'Set up'!$D$21)/48)/40</f>
        <v>1.8229166666666667</v>
      </c>
    </row>
    <row r="70" spans="1:24" x14ac:dyDescent="0.25">
      <c r="A70" s="188" t="s">
        <v>16</v>
      </c>
      <c r="B70" s="322">
        <f>(((('Blood sample &amp; packaging'!C19)/60)*'Set up'!D18)/48)/40</f>
        <v>0.40364583333333331</v>
      </c>
      <c r="C70" s="322">
        <f>(((('Blood sample &amp; packaging'!D19)/60)*'Set up'!D19)/48)/40</f>
        <v>0.40364583333333331</v>
      </c>
      <c r="D70" s="322">
        <f>(((('Blood sample &amp; packaging'!E19)/60)*'Set up'!$D20)/48)/40</f>
        <v>0.36458333333333337</v>
      </c>
      <c r="E70" s="322">
        <f>(((('Blood sample &amp; packaging'!F19)/60)*'Set up'!$D21)/48)/40</f>
        <v>0.36458333333333337</v>
      </c>
    </row>
    <row r="71" spans="1:24" s="323" customFormat="1" x14ac:dyDescent="0.25">
      <c r="A71" s="188" t="s">
        <v>494</v>
      </c>
      <c r="B71" s="322">
        <f>(((('Blood sample &amp; packaging'!C20)/60)*'Set up'!D18)/48)/40</f>
        <v>0.80729166666666663</v>
      </c>
      <c r="C71" s="322">
        <f>(((('Blood sample &amp; packaging'!D20)/60)*'Set up'!$D19)/48)/40</f>
        <v>0.80729166666666663</v>
      </c>
      <c r="D71" s="322">
        <f>(((('Blood sample &amp; packaging'!E20)/60)*'Set up'!$D20)/48)/40</f>
        <v>0.72916666666666674</v>
      </c>
      <c r="E71" s="322">
        <f>(((('Blood sample &amp; packaging'!F20)/60)*'Set up'!$D21)/48)/40</f>
        <v>0.72916666666666674</v>
      </c>
      <c r="F71" s="296"/>
      <c r="G71" s="296"/>
      <c r="H71" s="296"/>
      <c r="I71" s="296"/>
      <c r="J71" s="296"/>
      <c r="K71" s="296"/>
      <c r="L71" s="306"/>
      <c r="M71" s="296"/>
      <c r="N71" s="296"/>
      <c r="O71" s="296"/>
      <c r="P71" s="296"/>
      <c r="Q71" s="296"/>
      <c r="R71" s="296"/>
      <c r="S71" s="296"/>
      <c r="T71" s="296"/>
      <c r="U71" s="296"/>
      <c r="V71" s="296"/>
      <c r="W71" s="296"/>
    </row>
    <row r="72" spans="1:24" x14ac:dyDescent="0.25">
      <c r="A72" s="188" t="s">
        <v>19</v>
      </c>
      <c r="B72" s="322">
        <f>(((('Blood sample &amp; packaging'!C21+Centrifuge!C21)/60)*'Set up'!D18)/48)/40</f>
        <v>0.80729166666666663</v>
      </c>
      <c r="C72" s="322">
        <f>(((('Blood sample &amp; packaging'!D21+Centrifuge!D21)/60)*'Set up'!$D19)/48)/40</f>
        <v>0.80729166666666663</v>
      </c>
      <c r="D72" s="322">
        <f>(((('Blood sample &amp; packaging'!E21+Centrifuge!E21)/60)*'Set up'!D20)/48)/40</f>
        <v>0.72916666666666674</v>
      </c>
      <c r="E72" s="322">
        <f>(((('Blood sample &amp; packaging'!F21+Centrifuge!F21)/60)*'Set up'!$D21)/48)/40</f>
        <v>0.72916666666666674</v>
      </c>
    </row>
    <row r="73" spans="1:24" s="323" customFormat="1" x14ac:dyDescent="0.25">
      <c r="A73" s="188" t="s">
        <v>495</v>
      </c>
      <c r="B73" s="322">
        <f>(((('Blood sample &amp; packaging'!C22+Centrifuge!C22+'Running Machine'!C22+'Quality Assurance'!C22)/60)*'Set up'!D18)/48)/40</f>
        <v>4.84375</v>
      </c>
      <c r="C73" s="322">
        <f>(((('Blood sample &amp; packaging'!D22+Centrifuge!D22+'Running Machine'!D22+'Quality Assurance'!D22)/60)*'Set up'!$D19)/48)/40</f>
        <v>4.84375</v>
      </c>
      <c r="D73" s="322">
        <f>(((('Blood sample &amp; packaging'!E22+Centrifuge!E22+'Running Machine'!E22+'Quality Assurance'!E22)/60)*'Set up'!$D20)/48)/40</f>
        <v>4.375</v>
      </c>
      <c r="E73" s="322">
        <f>(((('Blood sample &amp; packaging'!F22+Centrifuge!F22+'Running Machine'!F22+'Quality Assurance'!F22)/60)*'Set up'!$D21)/48)/40</f>
        <v>4.375</v>
      </c>
      <c r="F73" s="296"/>
      <c r="G73" s="296"/>
      <c r="H73" s="296"/>
      <c r="I73" s="296"/>
      <c r="J73" s="296"/>
      <c r="K73" s="296"/>
      <c r="L73" s="296"/>
      <c r="M73" s="296"/>
      <c r="N73" s="296"/>
      <c r="O73" s="296"/>
      <c r="P73" s="296"/>
      <c r="Q73" s="296"/>
      <c r="R73" s="296"/>
      <c r="S73" s="296"/>
      <c r="T73" s="296"/>
      <c r="U73" s="296"/>
      <c r="V73" s="296"/>
      <c r="W73" s="296"/>
    </row>
    <row r="74" spans="1:24" s="323" customFormat="1" x14ac:dyDescent="0.25">
      <c r="A74" s="188" t="s">
        <v>23</v>
      </c>
      <c r="B74" s="322">
        <f>(((('Running Machine'!C21+'Quality Assurance'!C21)/60)*'Set up'!D18)/48)/40</f>
        <v>4.84375</v>
      </c>
      <c r="C74" s="322">
        <f>(((('Running Machine'!D21+'Quality Assurance'!D21)/60)*'Set up'!$D19)/48)/40</f>
        <v>4.84375</v>
      </c>
      <c r="D74" s="322">
        <f>(((('Running Machine'!E21+'Quality Assurance'!E21)/60)*'Set up'!$D20)/48)/40</f>
        <v>4.375</v>
      </c>
      <c r="E74" s="322">
        <f>(((('Running Machine'!F21+'Quality Assurance'!F21)/60)*'Set up'!$D21)/48)/40</f>
        <v>4.375</v>
      </c>
      <c r="F74" s="296"/>
      <c r="G74" s="296"/>
      <c r="H74" s="296"/>
      <c r="I74" s="296"/>
      <c r="J74" s="296"/>
      <c r="K74" s="296"/>
      <c r="L74" s="296"/>
      <c r="M74" s="296"/>
      <c r="N74" s="296"/>
      <c r="O74" s="296"/>
      <c r="P74" s="296"/>
      <c r="Q74" s="296"/>
      <c r="R74" s="296"/>
      <c r="S74" s="296"/>
      <c r="T74" s="296"/>
      <c r="U74" s="296"/>
      <c r="V74" s="296"/>
      <c r="W74" s="296"/>
    </row>
    <row r="75" spans="1:24" s="323" customFormat="1" x14ac:dyDescent="0.25">
      <c r="A75" s="188" t="s">
        <v>25</v>
      </c>
      <c r="B75" s="322">
        <f>(((('Running Machine'!C23+'Quality Assurance'!C23)/60)*'Set up'!D18)/48)/40</f>
        <v>0.80729166666666663</v>
      </c>
      <c r="C75" s="322">
        <f>(((('Running Machine'!D23+'Quality Assurance'!D23)/60)*'Set up'!$D19)/48)/40</f>
        <v>0.80729166666666663</v>
      </c>
      <c r="D75" s="322">
        <f>(((('Running Machine'!E23+'Quality Assurance'!E23)/60)*'Set up'!$D20)/48)/40</f>
        <v>0.72916666666666674</v>
      </c>
      <c r="E75" s="322">
        <f>(((('Running Machine'!F23+'Quality Assurance'!F23)/60)*'Set up'!$D21)/48)/40</f>
        <v>0.72916666666666674</v>
      </c>
      <c r="F75" s="296"/>
      <c r="G75" s="296"/>
      <c r="H75" s="296"/>
      <c r="I75" s="296"/>
      <c r="J75" s="296"/>
      <c r="K75" s="296"/>
      <c r="L75" s="296"/>
      <c r="M75" s="296"/>
      <c r="N75" s="296"/>
      <c r="O75" s="296"/>
      <c r="P75" s="296"/>
      <c r="Q75" s="296"/>
      <c r="R75" s="296"/>
      <c r="S75" s="296"/>
      <c r="T75" s="296"/>
      <c r="U75" s="296"/>
      <c r="V75" s="296"/>
      <c r="W75" s="296"/>
    </row>
    <row r="76" spans="1:24" s="323" customFormat="1" x14ac:dyDescent="0.25">
      <c r="A76" s="188" t="s">
        <v>76</v>
      </c>
      <c r="B76" s="322"/>
      <c r="C76" s="322"/>
      <c r="D76" s="322"/>
      <c r="E76" s="322"/>
      <c r="F76" s="296"/>
      <c r="G76" s="296"/>
      <c r="H76" s="296"/>
      <c r="I76" s="296"/>
      <c r="J76" s="296"/>
      <c r="K76" s="296"/>
      <c r="L76" s="296"/>
      <c r="M76" s="296"/>
      <c r="N76" s="296"/>
      <c r="O76" s="296"/>
      <c r="P76" s="296"/>
      <c r="Q76" s="296"/>
      <c r="R76" s="296"/>
      <c r="S76" s="296"/>
      <c r="T76" s="296"/>
      <c r="U76" s="296"/>
      <c r="V76" s="296"/>
      <c r="W76" s="296"/>
    </row>
    <row r="77" spans="1:24" s="323" customFormat="1" ht="15.75" thickBot="1" x14ac:dyDescent="0.3">
      <c r="A77" s="324" t="s">
        <v>77</v>
      </c>
      <c r="B77" s="325"/>
      <c r="C77" s="325"/>
      <c r="D77" s="325"/>
      <c r="E77" s="325"/>
      <c r="F77" s="296"/>
      <c r="G77" s="296"/>
      <c r="H77" s="296"/>
      <c r="I77" s="296"/>
      <c r="J77" s="296"/>
      <c r="K77" s="296"/>
      <c r="L77" s="296"/>
      <c r="M77" s="296"/>
      <c r="N77" s="296"/>
      <c r="O77" s="296"/>
      <c r="P77" s="296"/>
      <c r="Q77" s="296"/>
      <c r="R77" s="296"/>
      <c r="S77" s="296"/>
      <c r="T77" s="296"/>
      <c r="U77" s="296"/>
      <c r="V77" s="296"/>
      <c r="W77" s="296"/>
    </row>
    <row r="78" spans="1:24" s="323" customFormat="1" x14ac:dyDescent="0.25">
      <c r="H78" s="296"/>
      <c r="I78" s="296"/>
      <c r="J78" s="296"/>
      <c r="K78" s="296"/>
      <c r="L78" s="296"/>
      <c r="M78" s="296"/>
      <c r="N78" s="296"/>
      <c r="O78" s="296"/>
      <c r="P78" s="296"/>
      <c r="Q78" s="296"/>
      <c r="R78" s="296"/>
      <c r="S78" s="296"/>
      <c r="T78" s="296"/>
      <c r="U78" s="296"/>
      <c r="V78" s="296"/>
      <c r="W78" s="296"/>
      <c r="X78" s="296"/>
    </row>
    <row r="79" spans="1:24" s="323" customFormat="1" x14ac:dyDescent="0.25">
      <c r="H79" s="296"/>
      <c r="I79" s="296"/>
      <c r="J79" s="296"/>
      <c r="K79" s="296"/>
      <c r="L79" s="296"/>
      <c r="M79" s="296"/>
      <c r="N79" s="296"/>
      <c r="O79" s="296"/>
      <c r="P79" s="296"/>
      <c r="Q79" s="296"/>
      <c r="R79" s="296"/>
      <c r="S79" s="296"/>
      <c r="T79" s="296"/>
      <c r="U79" s="296"/>
      <c r="V79" s="296"/>
      <c r="W79" s="296"/>
      <c r="X79" s="296"/>
    </row>
    <row r="80" spans="1:24" s="323" customFormat="1" ht="19.5" thickBot="1" x14ac:dyDescent="0.35">
      <c r="A80" s="492" t="s">
        <v>198</v>
      </c>
      <c r="B80" s="492"/>
      <c r="H80" s="296"/>
      <c r="I80" s="296"/>
      <c r="J80" s="296"/>
      <c r="K80" s="296"/>
      <c r="L80" s="296"/>
      <c r="M80" s="296"/>
      <c r="N80" s="296"/>
      <c r="O80" s="296"/>
      <c r="P80" s="296"/>
      <c r="Q80" s="296"/>
      <c r="R80" s="296"/>
      <c r="S80" s="296"/>
      <c r="T80" s="296"/>
      <c r="U80" s="296"/>
      <c r="V80" s="296"/>
      <c r="W80" s="296"/>
      <c r="X80" s="296"/>
    </row>
    <row r="81" spans="1:24" s="323" customFormat="1" x14ac:dyDescent="0.25">
      <c r="A81" s="326"/>
      <c r="B81" s="327">
        <v>2015</v>
      </c>
      <c r="C81" s="327">
        <v>2016</v>
      </c>
      <c r="D81" s="327">
        <v>2017</v>
      </c>
      <c r="E81" s="327">
        <v>2018</v>
      </c>
      <c r="F81" s="327">
        <v>2019</v>
      </c>
      <c r="G81" s="327">
        <v>2020</v>
      </c>
      <c r="H81" s="327">
        <v>2021</v>
      </c>
      <c r="I81" s="327">
        <v>2022</v>
      </c>
      <c r="J81" s="327">
        <v>2023</v>
      </c>
      <c r="K81" s="327">
        <v>2024</v>
      </c>
      <c r="L81" s="328">
        <v>2025</v>
      </c>
      <c r="M81" s="296"/>
      <c r="N81" s="296"/>
      <c r="O81" s="296"/>
      <c r="P81" s="296"/>
      <c r="Q81" s="296"/>
      <c r="R81" s="296"/>
      <c r="S81" s="296"/>
      <c r="T81" s="296"/>
      <c r="U81" s="296"/>
      <c r="V81" s="296"/>
      <c r="W81" s="296"/>
      <c r="X81" s="296"/>
    </row>
    <row r="82" spans="1:24" s="323" customFormat="1" x14ac:dyDescent="0.25">
      <c r="A82" s="329"/>
      <c r="B82" s="330"/>
      <c r="C82" s="331"/>
      <c r="D82" s="331"/>
      <c r="E82" s="331"/>
      <c r="F82" s="331"/>
      <c r="G82" s="332"/>
      <c r="H82" s="332"/>
      <c r="I82" s="332"/>
      <c r="J82" s="332"/>
      <c r="K82" s="332"/>
      <c r="L82" s="333"/>
      <c r="M82" s="296"/>
      <c r="N82" s="296"/>
      <c r="O82" s="296"/>
      <c r="P82" s="296"/>
      <c r="Q82" s="296"/>
      <c r="R82" s="296"/>
      <c r="S82" s="296"/>
      <c r="T82" s="296"/>
      <c r="U82" s="296"/>
      <c r="V82" s="296"/>
      <c r="W82" s="296"/>
      <c r="X82" s="296"/>
    </row>
    <row r="83" spans="1:24" s="323" customFormat="1" x14ac:dyDescent="0.25">
      <c r="A83" s="86" t="str">
        <f t="shared" ref="A83:A92" si="45">A68</f>
        <v xml:space="preserve">Nurse  </v>
      </c>
      <c r="B83" s="46">
        <f>(((SUM('Blood sample &amp; packaging'!$C$17:$F$17)/60)*SUM('Set up'!D18:D21)/48)/40)</f>
        <v>61.458333333333336</v>
      </c>
      <c r="C83" s="46">
        <f>(((SUM('Blood sample &amp; packaging'!$C$17:$F$17)/60)*SUM(C4:C7)/48)/40)</f>
        <v>61.759240824992261</v>
      </c>
      <c r="D83" s="46">
        <f>(((SUM('Blood sample &amp; packaging'!$C$17:$F$17)/60)*SUM(D4:D7)/48)/40)</f>
        <v>61.763526154940919</v>
      </c>
      <c r="E83" s="46">
        <f>(((SUM('Blood sample &amp; packaging'!$C$17:$F$17)/60)*SUM(E4:E7)/48)/40)</f>
        <v>61.51716801368125</v>
      </c>
      <c r="F83" s="46">
        <f>(((SUM('Blood sample &amp; packaging'!$C$17:$F$17)/60)*SUM(F4:F7)/48)/40)</f>
        <v>61.23462622180233</v>
      </c>
      <c r="G83" s="46">
        <f>(((SUM('Blood sample &amp; packaging'!$C$17:$F$17)/60)*SUM(G4:G7)/48)/40)</f>
        <v>61.045008426705138</v>
      </c>
      <c r="H83" s="46">
        <f>(((SUM('Blood sample &amp; packaging'!$C$17:$F$17)/60)*SUM(H4:H7)/48)/40)</f>
        <v>60.969837939710793</v>
      </c>
      <c r="I83" s="46">
        <f>(((SUM('Blood sample &amp; packaging'!$C$17:$F$17)/60)*SUM(I4:I7)/48)/40)</f>
        <v>60.907459001510588</v>
      </c>
      <c r="J83" s="46">
        <f>(((SUM('Blood sample &amp; packaging'!$C$17:$F$17)/60)*SUM(J4:J7)/48)/40)</f>
        <v>60.868053298298356</v>
      </c>
      <c r="K83" s="46">
        <f>(((SUM('Blood sample &amp; packaging'!$C$17:$F$17)/60)*SUM(K4:K7)/48)/40)</f>
        <v>60.879910451840566</v>
      </c>
      <c r="L83" s="46">
        <f>(((SUM('Blood sample &amp; packaging'!$C$17:$F$17)/60)*SUM(L4:L7)/48)/40)</f>
        <v>60.955693128827576</v>
      </c>
      <c r="M83" s="296"/>
      <c r="N83" s="296"/>
      <c r="O83" s="296"/>
      <c r="P83" s="296"/>
      <c r="Q83" s="296"/>
      <c r="R83" s="296"/>
      <c r="S83" s="296"/>
      <c r="T83" s="296"/>
      <c r="U83" s="296"/>
      <c r="V83" s="296"/>
      <c r="W83" s="296"/>
      <c r="X83" s="296"/>
    </row>
    <row r="84" spans="1:24" s="323" customFormat="1" x14ac:dyDescent="0.25">
      <c r="A84" s="86" t="str">
        <f t="shared" si="45"/>
        <v>Doctor</v>
      </c>
      <c r="B84" s="46">
        <f>(((SUM('Blood sample &amp; packaging'!$C$18:$F$18)/60)*SUM('Set up'!D18:D21)/48)/40)</f>
        <v>30.729166666666668</v>
      </c>
      <c r="C84" s="46">
        <f>(((SUM('Blood sample &amp; packaging'!$C$18:$F$18)/60)*SUM(C4:C7)/48)/40)</f>
        <v>30.879620412496131</v>
      </c>
      <c r="D84" s="46">
        <f>(((SUM('Blood sample &amp; packaging'!$C$18:$F$18)/60)*SUM(D4:D7)/48)/40)</f>
        <v>30.88176307747046</v>
      </c>
      <c r="E84" s="46">
        <f>(((SUM('Blood sample &amp; packaging'!$C$18:$F$18)/60)*SUM(E4:E7)/48)/40)</f>
        <v>30.758584006840625</v>
      </c>
      <c r="F84" s="46">
        <f>(((SUM('Blood sample &amp; packaging'!$C$18:$F$18)/60)*SUM(F4:F7)/48)/40)</f>
        <v>30.617313110901165</v>
      </c>
      <c r="G84" s="46">
        <f>(((SUM('Blood sample &amp; packaging'!$C$18:$F$18)/60)*SUM(G4:G7)/48)/40)</f>
        <v>30.522504213352569</v>
      </c>
      <c r="H84" s="46">
        <f>(((SUM('Blood sample &amp; packaging'!$C$18:$F$18)/60)*SUM(H4:H7)/48)/40)</f>
        <v>30.484918969855396</v>
      </c>
      <c r="I84" s="46">
        <f>(((SUM('Blood sample &amp; packaging'!$C$18:$F$18)/60)*SUM(I4:I7)/48)/40)</f>
        <v>30.453729500755294</v>
      </c>
      <c r="J84" s="46">
        <f>(((SUM('Blood sample &amp; packaging'!$C$18:$F$18)/60)*SUM(J4:J7)/48)/40)</f>
        <v>30.434026649149178</v>
      </c>
      <c r="K84" s="46">
        <f>(((SUM('Blood sample &amp; packaging'!$C$18:$F$18)/60)*SUM(K4:K7)/48)/40)</f>
        <v>30.439955225920283</v>
      </c>
      <c r="L84" s="46">
        <f>(((SUM('Blood sample &amp; packaging'!$C$18:$F$18)/60)*SUM(L4:L7)/48)/40)</f>
        <v>30.477846564413788</v>
      </c>
      <c r="M84" s="296"/>
      <c r="N84" s="296"/>
      <c r="O84" s="296"/>
      <c r="P84" s="296"/>
      <c r="Q84" s="296"/>
      <c r="R84" s="296"/>
      <c r="S84" s="296"/>
      <c r="T84" s="296"/>
      <c r="U84" s="296"/>
      <c r="V84" s="296"/>
      <c r="W84" s="296"/>
      <c r="X84" s="296"/>
    </row>
    <row r="85" spans="1:24" s="323" customFormat="1" x14ac:dyDescent="0.25">
      <c r="A85" s="86" t="str">
        <f t="shared" si="45"/>
        <v>Clinical Officer</v>
      </c>
      <c r="B85" s="46">
        <f>(((SUM('Blood sample &amp; packaging'!$C$19:$F$19)/60)*SUM('Set up'!D18:D21)/48)/40)</f>
        <v>6.1458333333333339</v>
      </c>
      <c r="C85" s="46">
        <f>(((SUM('Blood sample &amp; packaging'!$C$19:$F$19)/60)*SUM(C4:C7)/48)/40)</f>
        <v>6.1759240824992254</v>
      </c>
      <c r="D85" s="46">
        <f>(((SUM('Blood sample &amp; packaging'!$C$19:$F$19)/60)*SUM(D4:D7)/48)/40)</f>
        <v>6.1763526154940926</v>
      </c>
      <c r="E85" s="46">
        <f>(((SUM('Blood sample &amp; packaging'!$C$19:$F$19)/60)*SUM(E4:E7)/48)/40)</f>
        <v>6.1517168013681252</v>
      </c>
      <c r="F85" s="46">
        <f>(((SUM('Blood sample &amp; packaging'!$C$19:$F$19)/60)*SUM(F4:F7)/48)/40)</f>
        <v>6.1234626221802335</v>
      </c>
      <c r="G85" s="46">
        <f>(((SUM('Blood sample &amp; packaging'!$C$19:$F$19)/60)*SUM(G4:G7)/48)/40)</f>
        <v>6.1045008426705127</v>
      </c>
      <c r="H85" s="46">
        <f>(((SUM('Blood sample &amp; packaging'!$C$19:$F$19)/60)*SUM(H4:H7)/48)/40)</f>
        <v>6.0969837939710789</v>
      </c>
      <c r="I85" s="46">
        <f>(((SUM('Blood sample &amp; packaging'!$C$19:$F$19)/60)*SUM(I4:I7)/48)/40)</f>
        <v>6.0907459001510578</v>
      </c>
      <c r="J85" s="46">
        <f>(((SUM('Blood sample &amp; packaging'!$C$19:$F$19)/60)*SUM(J4:J7)/48)/40)</f>
        <v>6.0868053298298355</v>
      </c>
      <c r="K85" s="46">
        <f>(((SUM('Blood sample &amp; packaging'!$C$19:$F$19)/60)*SUM(K4:K7)/48)/40)</f>
        <v>6.0879910451840562</v>
      </c>
      <c r="L85" s="46">
        <f>(((SUM('Blood sample &amp; packaging'!$C$19:$F$19)/60)*SUM(L4:L7)/48)/40)</f>
        <v>6.0955693128827582</v>
      </c>
      <c r="M85" s="296"/>
      <c r="N85" s="296"/>
      <c r="O85" s="296"/>
      <c r="P85" s="296"/>
      <c r="Q85" s="296"/>
      <c r="R85" s="296"/>
      <c r="S85" s="296"/>
      <c r="T85" s="296"/>
      <c r="U85" s="296"/>
      <c r="V85" s="296"/>
      <c r="W85" s="296"/>
      <c r="X85" s="296"/>
    </row>
    <row r="86" spans="1:24" s="323" customFormat="1" x14ac:dyDescent="0.25">
      <c r="A86" s="86" t="str">
        <f t="shared" si="45"/>
        <v xml:space="preserve">Nurse Assistant </v>
      </c>
      <c r="B86" s="46">
        <f>(((SUM('Blood sample &amp; packaging'!$C$20:$F$20)/60)*SUM('Set up'!D18:D21)/48)/40)</f>
        <v>12.291666666666668</v>
      </c>
      <c r="C86" s="46">
        <f>(((SUM('Blood sample &amp; packaging'!$C$20:$F$20)/60)*SUM(C4:C7)/48)/40)</f>
        <v>12.351848164998451</v>
      </c>
      <c r="D86" s="46">
        <f>(((SUM('Blood sample &amp; packaging'!$C$20:$F$20)/60)*SUM(D4:D7)/48)/40)</f>
        <v>12.352705230988185</v>
      </c>
      <c r="E86" s="46">
        <f>(((SUM('Blood sample &amp; packaging'!$C$20:$F$20)/60)*SUM(E4:E7)/48)/40)</f>
        <v>12.30343360273625</v>
      </c>
      <c r="F86" s="46">
        <f>(((SUM('Blood sample &amp; packaging'!$C$20:$F$20)/60)*SUM(F4:F7)/48)/40)</f>
        <v>12.246925244360467</v>
      </c>
      <c r="G86" s="46">
        <f>(((SUM('Blood sample &amp; packaging'!$C$20:$F$20)/60)*SUM(G4:G7)/48)/40)</f>
        <v>12.209001685341025</v>
      </c>
      <c r="H86" s="46">
        <f>(((SUM('Blood sample &amp; packaging'!$C$20:$F$20)/60)*SUM(H4:H7)/48)/40)</f>
        <v>12.193967587942158</v>
      </c>
      <c r="I86" s="46">
        <f>(((SUM('Blood sample &amp; packaging'!$C$20:$F$20)/60)*SUM(I4:I7)/48)/40)</f>
        <v>12.181491800302116</v>
      </c>
      <c r="J86" s="46">
        <f>(((SUM('Blood sample &amp; packaging'!$C$20:$F$20)/60)*SUM(J4:J7)/48)/40)</f>
        <v>12.173610659659671</v>
      </c>
      <c r="K86" s="46">
        <f>(((SUM('Blood sample &amp; packaging'!$C$20:$F$20)/60)*SUM(K4:K7)/48)/40)</f>
        <v>12.175982090368112</v>
      </c>
      <c r="L86" s="46">
        <f>(((SUM('Blood sample &amp; packaging'!$C$20:$F$20)/60)*SUM(L4:L7)/48)/40)</f>
        <v>12.191138625765516</v>
      </c>
      <c r="M86" s="296"/>
      <c r="N86" s="296"/>
      <c r="O86" s="296"/>
      <c r="P86" s="296"/>
      <c r="Q86" s="296"/>
      <c r="R86" s="296"/>
      <c r="S86" s="296"/>
      <c r="T86" s="296"/>
      <c r="U86" s="296"/>
      <c r="V86" s="296"/>
      <c r="W86" s="296"/>
      <c r="X86" s="296"/>
    </row>
    <row r="87" spans="1:24" s="323" customFormat="1" x14ac:dyDescent="0.25">
      <c r="A87" s="86" t="str">
        <f t="shared" si="45"/>
        <v>Phlebotomist</v>
      </c>
      <c r="B87" s="46">
        <f>(((SUM('Blood sample &amp; packaging'!$C$21:$F$21,Centrifuge!$C$21:$F$21)/60)*SUM('Set up'!D18:D21)/48)/40)</f>
        <v>12.291666666666668</v>
      </c>
      <c r="C87" s="46">
        <f>(((SUM('Blood sample &amp; packaging'!$C$21:$F$21,Centrifuge!$C$21:$F$21)/60)*SUM(C4:C7)/48)/40)</f>
        <v>12.351848164998451</v>
      </c>
      <c r="D87" s="46">
        <f>(((SUM('Blood sample &amp; packaging'!$C$21:$F$21,Centrifuge!$C$21:$F$21)/60)*SUM(D4:D7)/48)/40)</f>
        <v>12.352705230988185</v>
      </c>
      <c r="E87" s="46">
        <f>(((SUM('Blood sample &amp; packaging'!$C$21:$F$21,Centrifuge!$C$21:$F$21)/60)*SUM(E4:E7)/48)/40)</f>
        <v>12.30343360273625</v>
      </c>
      <c r="F87" s="46">
        <f>(((SUM('Blood sample &amp; packaging'!$C$21:$F$21,Centrifuge!$C$21:$F$21)/60)*SUM(F4:F7)/48)/40)</f>
        <v>12.246925244360467</v>
      </c>
      <c r="G87" s="46">
        <f>(((SUM('Blood sample &amp; packaging'!$C$21:$F$21,Centrifuge!$C$21:$F$21)/60)*SUM(G4:G7)/48)/40)</f>
        <v>12.209001685341025</v>
      </c>
      <c r="H87" s="46">
        <f>(((SUM('Blood sample &amp; packaging'!$C$21:$F$21,Centrifuge!$C$21:$F$21)/60)*SUM(H4:H7)/48)/40)</f>
        <v>12.193967587942158</v>
      </c>
      <c r="I87" s="46">
        <f>(((SUM('Blood sample &amp; packaging'!$C$21:$F$21,Centrifuge!$C$21:$F$21)/60)*SUM(I4:I7)/48)/40)</f>
        <v>12.181491800302116</v>
      </c>
      <c r="J87" s="46">
        <f>(((SUM('Blood sample &amp; packaging'!$C$21:$F$21,Centrifuge!$C$21:$F$21)/60)*SUM(J4:J7)/48)/40)</f>
        <v>12.173610659659671</v>
      </c>
      <c r="K87" s="46">
        <f>(((SUM('Blood sample &amp; packaging'!$C$21:$F$21,Centrifuge!$C$21:$F$21)/60)*SUM(K4:K7)/48)/40)</f>
        <v>12.175982090368112</v>
      </c>
      <c r="L87" s="46">
        <f>(((SUM('Blood sample &amp; packaging'!$C$21:$F$21,Centrifuge!$C$21:$F$21)/60)*SUM(L4:L7)/48)/40)</f>
        <v>12.191138625765516</v>
      </c>
      <c r="M87" s="296"/>
      <c r="N87" s="296"/>
      <c r="O87" s="296"/>
      <c r="P87" s="296"/>
      <c r="Q87" s="296"/>
      <c r="R87" s="296"/>
      <c r="S87" s="296"/>
      <c r="T87" s="296"/>
      <c r="U87" s="296"/>
      <c r="V87" s="296"/>
      <c r="W87" s="296"/>
      <c r="X87" s="296"/>
    </row>
    <row r="88" spans="1:24" s="323" customFormat="1" x14ac:dyDescent="0.25">
      <c r="A88" s="86" t="str">
        <f t="shared" si="45"/>
        <v>Lab Technologist</v>
      </c>
      <c r="B88" s="46">
        <f>(((SUM('Blood sample &amp; packaging'!$C$22:$F$22,Centrifuge!$C$22:$F$22,'Running Machine'!$C$22:$F$22,'Quality Assurance'!$C$22:$F$22)/60)*SUM('Set up'!D18:D21)/48)/40)</f>
        <v>73.75</v>
      </c>
      <c r="C88" s="46">
        <f>(((SUM('Blood sample &amp; packaging'!$C$22:$F$22,Centrifuge!$C$22:$F$22,'Running Machine'!$C$22:$F$22,'Quality Assurance'!$C$22:$F$22)/60)*SUM(C4:C7)/48)/40)</f>
        <v>74.111088989990719</v>
      </c>
      <c r="D88" s="46">
        <f>(((SUM('Blood sample &amp; packaging'!$C$22:$F$22,Centrifuge!$C$22:$F$22,'Running Machine'!$C$22:$F$22,'Quality Assurance'!$C$22:$F$22)/60)*SUM(D4:D7)/48)/40)</f>
        <v>74.116231385929126</v>
      </c>
      <c r="E88" s="46">
        <f>(((SUM('Blood sample &amp; packaging'!$C$22:$F$22,Centrifuge!$C$22:$F$22,'Running Machine'!$C$22:$F$22,'Quality Assurance'!$C$22:$F$22)/60)*SUM(E4:E7)/48)/40)</f>
        <v>73.82060161641752</v>
      </c>
      <c r="F88" s="46">
        <f>(((SUM('Blood sample &amp; packaging'!$C$22:$F$22,Centrifuge!$C$22:$F$22,'Running Machine'!$C$22:$F$22,'Quality Assurance'!$C$22:$F$22)/60)*SUM(F4:F7)/48)/40)</f>
        <v>73.481551466162813</v>
      </c>
      <c r="G88" s="46">
        <f>(((SUM('Blood sample &amp; packaging'!$C$22:$F$22,Centrifuge!$C$22:$F$22,'Running Machine'!$C$22:$F$22,'Quality Assurance'!$C$22:$F$22)/60)*SUM(G4:G7)/48)/40)</f>
        <v>73.254010112046174</v>
      </c>
      <c r="H88" s="46">
        <f>(((SUM('Blood sample &amp; packaging'!$C$22:$F$22,Centrifuge!$C$22:$F$22,'Running Machine'!$C$22:$F$22,'Quality Assurance'!$C$22:$F$22)/60)*SUM(H4:H7)/48)/40)</f>
        <v>73.163805527652954</v>
      </c>
      <c r="I88" s="46">
        <f>(((SUM('Blood sample &amp; packaging'!$C$22:$F$22,Centrifuge!$C$22:$F$22,'Running Machine'!$C$22:$F$22,'Quality Assurance'!$C$22:$F$22)/60)*SUM(I4:I7)/48)/40)</f>
        <v>73.0889508018127</v>
      </c>
      <c r="J88" s="46">
        <f>(((SUM('Blood sample &amp; packaging'!$C$22:$F$22,Centrifuge!$C$22:$F$22,'Running Machine'!$C$22:$F$22,'Quality Assurance'!$C$22:$F$22)/60)*SUM(J4:J7)/48)/40)</f>
        <v>73.041663957958036</v>
      </c>
      <c r="K88" s="46">
        <f>(((SUM('Blood sample &amp; packaging'!$C$22:$F$22,Centrifuge!$C$22:$F$22,'Running Machine'!$C$22:$F$22,'Quality Assurance'!$C$22:$F$22)/60)*SUM(K4:K7)/48)/40)</f>
        <v>73.055892542208682</v>
      </c>
      <c r="L88" s="46">
        <f>(((SUM('Blood sample &amp; packaging'!$C$22:$F$22,Centrifuge!$C$22:$F$22,'Running Machine'!$C$22:$F$22,'Quality Assurance'!$C$22:$F$22)/60)*SUM(L4:L7)/48)/40)</f>
        <v>73.146831754593094</v>
      </c>
      <c r="M88" s="296"/>
      <c r="N88" s="296"/>
      <c r="O88" s="296"/>
      <c r="P88" s="296"/>
      <c r="Q88" s="296"/>
      <c r="R88" s="296"/>
      <c r="S88" s="296"/>
      <c r="T88" s="296"/>
      <c r="U88" s="296"/>
      <c r="V88" s="296"/>
      <c r="W88" s="296"/>
      <c r="X88" s="296"/>
    </row>
    <row r="89" spans="1:24" s="323" customFormat="1" x14ac:dyDescent="0.25">
      <c r="A89" s="86" t="str">
        <f t="shared" si="45"/>
        <v>Assistant Research Officer</v>
      </c>
      <c r="B89" s="46">
        <f>(((SUM('Running Machine'!$C$21:$F$21,'Quality Assurance'!$C$21:$F$21)/60)*SUM('Set up'!D18:D21)/48)/40)</f>
        <v>73.75</v>
      </c>
      <c r="C89" s="46">
        <f>(((SUM('Running Machine'!$C$21:$F$21,'Quality Assurance'!$C$21:$F$21)/60)*SUM(C4:C7)/48)/40)</f>
        <v>74.111088989990719</v>
      </c>
      <c r="D89" s="46">
        <f>(((SUM('Running Machine'!$C$21:$F$21,'Quality Assurance'!$C$21:$F$21)/60)*SUM(D4:D7)/48)/40)</f>
        <v>74.116231385929126</v>
      </c>
      <c r="E89" s="46">
        <f>(((SUM('Running Machine'!$C$21:$F$21,'Quality Assurance'!$C$21:$F$21)/60)*SUM(E4:E7)/48)/40)</f>
        <v>73.82060161641752</v>
      </c>
      <c r="F89" s="46">
        <f>(((SUM('Running Machine'!$C$21:$F$21,'Quality Assurance'!$C$21:$F$21)/60)*SUM(F4:F7)/48)/40)</f>
        <v>73.481551466162813</v>
      </c>
      <c r="G89" s="46">
        <f>(((SUM('Running Machine'!$C$21:$F$21,'Quality Assurance'!$C$21:$F$21)/60)*SUM(G4:G7)/48)/40)</f>
        <v>73.254010112046174</v>
      </c>
      <c r="H89" s="46">
        <f>(((SUM('Running Machine'!$C$21:$F$21,'Quality Assurance'!$C$21:$F$21)/60)*SUM(H4:H7)/48)/40)</f>
        <v>73.163805527652954</v>
      </c>
      <c r="I89" s="46">
        <f>(((SUM('Running Machine'!$C$21:$F$21,'Quality Assurance'!$C$21:$F$21)/60)*SUM(I4:I7)/48)/40)</f>
        <v>73.0889508018127</v>
      </c>
      <c r="J89" s="46">
        <f>(((SUM('Running Machine'!$C$21:$F$21,'Quality Assurance'!$C$21:$F$21)/60)*SUM(J4:J7)/48)/40)</f>
        <v>73.041663957958036</v>
      </c>
      <c r="K89" s="46">
        <f>(((SUM('Running Machine'!$C$21:$F$21,'Quality Assurance'!$C$21:$F$21)/60)*SUM(K4:K7)/48)/40)</f>
        <v>73.055892542208682</v>
      </c>
      <c r="L89" s="46">
        <f>(((SUM('Running Machine'!$C$21:$F$21,'Quality Assurance'!$C$21:$F$21)/60)*SUM(L4:L7)/48)/40)</f>
        <v>73.146831754593094</v>
      </c>
      <c r="M89" s="296"/>
      <c r="N89" s="296"/>
      <c r="O89" s="296"/>
      <c r="P89" s="296"/>
      <c r="Q89" s="296"/>
      <c r="R89" s="296"/>
      <c r="S89" s="296"/>
      <c r="T89" s="296"/>
      <c r="U89" s="296"/>
      <c r="V89" s="296"/>
      <c r="W89" s="296"/>
      <c r="X89" s="296"/>
    </row>
    <row r="90" spans="1:24" s="323" customFormat="1" x14ac:dyDescent="0.25">
      <c r="A90" s="86" t="str">
        <f t="shared" si="45"/>
        <v>Lab Manager</v>
      </c>
      <c r="B90" s="46">
        <f>(((SUM('Running Machine'!$C$23:$F$23,'Quality Assurance'!$C$23:$F$23)/60)*SUM('Set up'!D18:D21)/48)/40)</f>
        <v>12.291666666666668</v>
      </c>
      <c r="C90" s="46">
        <f>(((SUM('Running Machine'!$C$23:$F$23,'Quality Assurance'!$C$23:$F$23)/60)*SUM(C4:C7)/48)/40)</f>
        <v>12.351848164998451</v>
      </c>
      <c r="D90" s="46">
        <f>(((SUM('Running Machine'!$C$23:$F$23,'Quality Assurance'!$C$23:$F$23)/60)*SUM(D4:D7)/48)/40)</f>
        <v>12.352705230988185</v>
      </c>
      <c r="E90" s="46">
        <f>(((SUM('Running Machine'!$C$23:$F$23,'Quality Assurance'!$C$23:$F$23)/60)*SUM(E4:E7)/48)/40)</f>
        <v>12.30343360273625</v>
      </c>
      <c r="F90" s="46">
        <f>(((SUM('Running Machine'!$C$23:$F$23,'Quality Assurance'!$C$23:$F$23)/60)*SUM(F4:F7)/48)/40)</f>
        <v>12.246925244360467</v>
      </c>
      <c r="G90" s="46">
        <f>(((SUM('Running Machine'!$C$23:$F$23,'Quality Assurance'!$C$23:$F$23)/60)*SUM(G4:G7)/48)/40)</f>
        <v>12.209001685341025</v>
      </c>
      <c r="H90" s="46">
        <f>(((SUM('Running Machine'!$C$23:$F$23,'Quality Assurance'!$C$23:$F$23)/60)*SUM(H4:H7)/48)/40)</f>
        <v>12.193967587942158</v>
      </c>
      <c r="I90" s="46">
        <f>(((SUM('Running Machine'!$C$23:$F$23,'Quality Assurance'!$C$23:$F$23)/60)*SUM(I4:I7)/48)/40)</f>
        <v>12.181491800302116</v>
      </c>
      <c r="J90" s="46">
        <f>(((SUM('Running Machine'!$C$23:$F$23,'Quality Assurance'!$C$23:$F$23)/60)*SUM(J4:J7)/48)/40)</f>
        <v>12.173610659659671</v>
      </c>
      <c r="K90" s="46">
        <f>(((SUM('Running Machine'!$C$23:$F$23,'Quality Assurance'!$C$23:$F$23)/60)*SUM(K4:K7)/48)/40)</f>
        <v>12.175982090368112</v>
      </c>
      <c r="L90" s="46">
        <f>(((SUM('Running Machine'!$C$23:$F$23,'Quality Assurance'!$C$23:$F$23)/60)*SUM(L4:L7)/48)/40)</f>
        <v>12.191138625765516</v>
      </c>
      <c r="M90" s="296"/>
      <c r="N90" s="296"/>
      <c r="O90" s="296"/>
      <c r="P90" s="296"/>
      <c r="Q90" s="296"/>
      <c r="R90" s="296"/>
      <c r="S90" s="296"/>
      <c r="T90" s="296"/>
      <c r="U90" s="296"/>
      <c r="V90" s="296"/>
      <c r="W90" s="296"/>
      <c r="X90" s="296"/>
    </row>
    <row r="91" spans="1:24" s="323" customFormat="1" x14ac:dyDescent="0.25">
      <c r="A91" s="86" t="str">
        <f t="shared" si="45"/>
        <v>Other 1</v>
      </c>
      <c r="B91" s="46">
        <f>'[2]Resource requirements'!B100</f>
        <v>0</v>
      </c>
      <c r="C91" s="46">
        <f>'[2]Resource requirements'!C100</f>
        <v>0</v>
      </c>
      <c r="D91" s="46">
        <f>'[2]Resource requirements'!D100</f>
        <v>0</v>
      </c>
      <c r="E91" s="46">
        <f>'[2]Resource requirements'!E100</f>
        <v>0</v>
      </c>
      <c r="F91" s="46">
        <f>'[2]Resource requirements'!F100</f>
        <v>0</v>
      </c>
      <c r="G91" s="46">
        <f>'[2]Resource requirements'!G100</f>
        <v>0</v>
      </c>
      <c r="H91" s="46">
        <f>'[2]Resource requirements'!H100</f>
        <v>0</v>
      </c>
      <c r="I91" s="46">
        <f>'[2]Resource requirements'!I100</f>
        <v>0</v>
      </c>
      <c r="J91" s="46">
        <f>'[2]Resource requirements'!J100</f>
        <v>0</v>
      </c>
      <c r="K91" s="46">
        <f>'[2]Resource requirements'!K100</f>
        <v>0</v>
      </c>
      <c r="L91" s="45">
        <f>'[2]Resource requirements'!L100</f>
        <v>0</v>
      </c>
      <c r="M91" s="296"/>
      <c r="N91" s="296"/>
      <c r="O91" s="296"/>
      <c r="P91" s="296"/>
      <c r="Q91" s="296"/>
      <c r="R91" s="296"/>
      <c r="S91" s="296"/>
      <c r="T91" s="296"/>
      <c r="U91" s="296"/>
      <c r="V91" s="296"/>
      <c r="W91" s="296"/>
      <c r="X91" s="296"/>
    </row>
    <row r="92" spans="1:24" s="323" customFormat="1" ht="15.75" thickBot="1" x14ac:dyDescent="0.3">
      <c r="A92" s="87" t="str">
        <f t="shared" si="45"/>
        <v>Other 2</v>
      </c>
      <c r="B92" s="44">
        <f>'[2]Resource requirements'!B101</f>
        <v>0</v>
      </c>
      <c r="C92" s="44">
        <f>'[2]Resource requirements'!C101</f>
        <v>0</v>
      </c>
      <c r="D92" s="44">
        <f>'[2]Resource requirements'!D101</f>
        <v>0</v>
      </c>
      <c r="E92" s="44">
        <f>'[2]Resource requirements'!E101</f>
        <v>0</v>
      </c>
      <c r="F92" s="44">
        <f>'[2]Resource requirements'!F101</f>
        <v>0</v>
      </c>
      <c r="G92" s="44">
        <f>'[2]Resource requirements'!G101</f>
        <v>0</v>
      </c>
      <c r="H92" s="44">
        <f>'[2]Resource requirements'!H101</f>
        <v>0</v>
      </c>
      <c r="I92" s="44">
        <f>'[2]Resource requirements'!I101</f>
        <v>0</v>
      </c>
      <c r="J92" s="44">
        <f>'[2]Resource requirements'!J101</f>
        <v>0</v>
      </c>
      <c r="K92" s="44">
        <f>'[2]Resource requirements'!K101</f>
        <v>0</v>
      </c>
      <c r="L92" s="43">
        <f>'[2]Resource requirements'!L101</f>
        <v>0</v>
      </c>
      <c r="M92" s="296"/>
      <c r="N92" s="296"/>
      <c r="O92" s="296"/>
      <c r="P92" s="296"/>
      <c r="Q92" s="296"/>
      <c r="R92" s="296"/>
      <c r="S92" s="296"/>
      <c r="T92" s="296"/>
      <c r="U92" s="296"/>
      <c r="V92" s="296"/>
      <c r="W92" s="296"/>
      <c r="X92" s="296"/>
    </row>
    <row r="93" spans="1:24" s="323" customFormat="1" x14ac:dyDescent="0.25">
      <c r="A93" s="296"/>
      <c r="B93" s="296"/>
      <c r="C93" s="296"/>
      <c r="D93" s="296"/>
      <c r="E93" s="296"/>
      <c r="F93" s="296"/>
      <c r="G93" s="296"/>
      <c r="H93" s="296"/>
      <c r="I93" s="296"/>
      <c r="J93" s="296"/>
      <c r="K93" s="296"/>
      <c r="L93" s="296"/>
      <c r="M93" s="296"/>
      <c r="N93" s="296"/>
      <c r="O93" s="296"/>
      <c r="P93" s="296"/>
      <c r="Q93" s="296"/>
      <c r="R93" s="296"/>
      <c r="S93" s="296"/>
      <c r="T93" s="296"/>
      <c r="U93" s="296"/>
      <c r="V93" s="296"/>
      <c r="W93" s="296"/>
      <c r="X93" s="296"/>
    </row>
    <row r="94" spans="1:24" s="323" customFormat="1" x14ac:dyDescent="0.25">
      <c r="A94" s="296"/>
      <c r="B94" s="296"/>
      <c r="C94" s="296"/>
      <c r="D94" s="296"/>
      <c r="E94" s="296"/>
      <c r="F94" s="296"/>
      <c r="G94" s="296"/>
      <c r="H94" s="296"/>
      <c r="I94" s="296"/>
      <c r="J94" s="296"/>
      <c r="K94" s="296"/>
      <c r="L94" s="296"/>
      <c r="M94" s="296"/>
      <c r="N94" s="296"/>
      <c r="O94" s="296"/>
      <c r="P94" s="296"/>
      <c r="Q94" s="296"/>
      <c r="R94" s="296"/>
      <c r="S94" s="296"/>
      <c r="T94" s="296"/>
      <c r="U94" s="296"/>
      <c r="V94" s="296"/>
      <c r="W94" s="296"/>
      <c r="X94" s="296"/>
    </row>
    <row r="95" spans="1:24" s="323" customFormat="1" x14ac:dyDescent="0.25">
      <c r="A95" s="296"/>
      <c r="B95" s="296"/>
      <c r="C95" s="296"/>
      <c r="D95" s="296"/>
      <c r="E95" s="296"/>
      <c r="F95" s="296"/>
      <c r="G95" s="296"/>
      <c r="H95" s="296"/>
      <c r="I95" s="296"/>
      <c r="J95" s="296"/>
      <c r="K95" s="296"/>
      <c r="L95" s="296"/>
      <c r="M95" s="296"/>
      <c r="N95" s="296"/>
      <c r="O95" s="296"/>
      <c r="P95" s="296"/>
      <c r="Q95" s="296"/>
      <c r="R95" s="296"/>
      <c r="S95" s="296"/>
      <c r="T95" s="296"/>
      <c r="U95" s="296"/>
      <c r="V95" s="296"/>
      <c r="W95" s="296"/>
      <c r="X95" s="296"/>
    </row>
    <row r="96" spans="1:24" s="323" customFormat="1" x14ac:dyDescent="0.25">
      <c r="A96" s="296"/>
      <c r="B96" s="296"/>
      <c r="C96" s="296"/>
      <c r="D96" s="296"/>
      <c r="E96" s="296"/>
      <c r="F96" s="296"/>
      <c r="G96" s="296"/>
      <c r="H96" s="296"/>
      <c r="I96" s="296"/>
      <c r="J96" s="296"/>
      <c r="K96" s="296"/>
      <c r="L96" s="296"/>
      <c r="M96" s="296"/>
      <c r="N96" s="296"/>
      <c r="O96" s="296"/>
      <c r="P96" s="296"/>
      <c r="Q96" s="296"/>
      <c r="R96" s="296"/>
      <c r="S96" s="296"/>
      <c r="T96" s="296"/>
      <c r="U96" s="296"/>
      <c r="V96" s="296"/>
      <c r="W96" s="296"/>
      <c r="X96" s="296"/>
    </row>
    <row r="97" spans="1:24" s="323" customFormat="1" x14ac:dyDescent="0.25">
      <c r="A97" s="296"/>
      <c r="B97" s="296"/>
      <c r="C97" s="296"/>
      <c r="D97" s="296"/>
      <c r="E97" s="296"/>
      <c r="F97" s="296"/>
      <c r="G97" s="296"/>
      <c r="H97" s="296"/>
      <c r="I97" s="296"/>
      <c r="J97" s="296"/>
      <c r="K97" s="296"/>
      <c r="L97" s="296"/>
      <c r="M97" s="296"/>
      <c r="N97" s="296"/>
      <c r="O97" s="296"/>
      <c r="P97" s="296"/>
      <c r="Q97" s="296"/>
      <c r="R97" s="296"/>
      <c r="S97" s="296"/>
      <c r="T97" s="296"/>
      <c r="U97" s="296"/>
      <c r="V97" s="296"/>
      <c r="W97" s="296"/>
      <c r="X97" s="296"/>
    </row>
    <row r="98" spans="1:24" s="323" customFormat="1" x14ac:dyDescent="0.25">
      <c r="A98" s="296"/>
      <c r="B98" s="296"/>
      <c r="C98" s="296"/>
      <c r="D98" s="296"/>
      <c r="E98" s="296"/>
      <c r="F98" s="296"/>
      <c r="G98" s="296"/>
      <c r="H98" s="296"/>
      <c r="I98" s="296"/>
      <c r="J98" s="296"/>
      <c r="K98" s="296"/>
      <c r="L98" s="296"/>
      <c r="M98" s="296"/>
      <c r="N98" s="296"/>
      <c r="O98" s="296"/>
      <c r="P98" s="296"/>
      <c r="Q98" s="296"/>
      <c r="R98" s="296"/>
      <c r="S98" s="296"/>
      <c r="T98" s="296"/>
      <c r="U98" s="296"/>
      <c r="V98" s="296"/>
      <c r="W98" s="296"/>
      <c r="X98" s="296"/>
    </row>
    <row r="99" spans="1:24" s="323" customFormat="1" x14ac:dyDescent="0.25">
      <c r="A99" s="296"/>
      <c r="B99" s="296"/>
      <c r="C99" s="296"/>
      <c r="D99" s="296"/>
      <c r="E99" s="296"/>
      <c r="F99" s="296"/>
      <c r="G99" s="296"/>
      <c r="H99" s="296"/>
      <c r="I99" s="296"/>
      <c r="J99" s="296"/>
      <c r="K99" s="296"/>
      <c r="L99" s="296"/>
      <c r="M99" s="296"/>
      <c r="N99" s="296"/>
      <c r="O99" s="296"/>
      <c r="P99" s="296"/>
      <c r="Q99" s="296"/>
      <c r="R99" s="296"/>
      <c r="S99" s="296"/>
      <c r="T99" s="296"/>
      <c r="U99" s="296"/>
      <c r="V99" s="296"/>
      <c r="W99" s="296"/>
      <c r="X99" s="296"/>
    </row>
  </sheetData>
  <sheetProtection password="C441" sheet="1" objects="1" scenarios="1"/>
  <mergeCells count="2">
    <mergeCell ref="A80:B80"/>
    <mergeCell ref="A66:B66"/>
  </mergeCells>
  <pageMargins left="0.7" right="0.7" top="0.75" bottom="0.75" header="0.3" footer="0.3"/>
  <pageSetup orientation="portrait" horizontalDpi="200" verticalDpi="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EEB500"/>
  </sheetPr>
  <dimension ref="A1:U104"/>
  <sheetViews>
    <sheetView zoomScale="80" zoomScaleNormal="80" workbookViewId="0">
      <selection activeCell="H97" sqref="H97"/>
    </sheetView>
  </sheetViews>
  <sheetFormatPr defaultRowHeight="15" x14ac:dyDescent="0.25"/>
  <cols>
    <col min="1" max="1" width="11" bestFit="1" customWidth="1"/>
    <col min="7" max="7" width="67.28515625" customWidth="1"/>
    <col min="8" max="8" width="8.85546875" style="42"/>
    <col min="9" max="9" width="13.7109375" style="42" customWidth="1"/>
    <col min="11" max="11" width="42.85546875" bestFit="1" customWidth="1"/>
    <col min="12" max="12" width="10.5703125" bestFit="1" customWidth="1"/>
    <col min="13" max="13" width="10.140625" customWidth="1"/>
    <col min="14" max="14" width="19.140625" style="84" bestFit="1" customWidth="1"/>
    <col min="15" max="15" width="13" customWidth="1"/>
  </cols>
  <sheetData>
    <row r="1" spans="1:21" ht="28.5" x14ac:dyDescent="0.45">
      <c r="A1" s="390" t="s">
        <v>502</v>
      </c>
    </row>
    <row r="2" spans="1:21" ht="62.25" customHeight="1" x14ac:dyDescent="0.25">
      <c r="A2" s="495" t="s">
        <v>184</v>
      </c>
      <c r="B2" s="495"/>
      <c r="C2" s="495"/>
      <c r="D2" s="495"/>
      <c r="G2" s="41" t="s">
        <v>71</v>
      </c>
      <c r="H2" s="49"/>
      <c r="K2" s="41" t="s">
        <v>208</v>
      </c>
      <c r="L2" s="77" t="s">
        <v>464</v>
      </c>
      <c r="M2" s="77" t="s">
        <v>465</v>
      </c>
      <c r="N2" s="77" t="s">
        <v>482</v>
      </c>
      <c r="O2" s="78" t="s">
        <v>466</v>
      </c>
      <c r="P2" s="496" t="s">
        <v>475</v>
      </c>
      <c r="Q2" s="496"/>
      <c r="R2" s="496"/>
      <c r="S2" s="496"/>
      <c r="T2" s="496"/>
      <c r="U2" s="496"/>
    </row>
    <row r="3" spans="1:21" x14ac:dyDescent="0.25">
      <c r="A3" t="s">
        <v>137</v>
      </c>
      <c r="B3" t="s">
        <v>138</v>
      </c>
      <c r="C3" t="s">
        <v>151</v>
      </c>
      <c r="G3" t="s">
        <v>28</v>
      </c>
      <c r="H3" s="50">
        <v>7.89</v>
      </c>
      <c r="I3" s="50"/>
      <c r="K3" t="s">
        <v>55</v>
      </c>
      <c r="L3" s="81">
        <v>300</v>
      </c>
      <c r="M3" s="82"/>
      <c r="N3" s="85">
        <v>2000</v>
      </c>
      <c r="O3" s="79"/>
      <c r="P3" s="83" t="s">
        <v>467</v>
      </c>
    </row>
    <row r="4" spans="1:21" x14ac:dyDescent="0.25">
      <c r="A4" t="s">
        <v>127</v>
      </c>
      <c r="B4" t="s">
        <v>156</v>
      </c>
      <c r="C4" t="s">
        <v>157</v>
      </c>
      <c r="G4" t="s">
        <v>29</v>
      </c>
      <c r="H4" s="50">
        <v>2.9585798816567999</v>
      </c>
      <c r="I4" s="50"/>
      <c r="K4" t="s">
        <v>516</v>
      </c>
      <c r="L4" s="81">
        <v>4</v>
      </c>
      <c r="M4" s="82">
        <v>0</v>
      </c>
      <c r="N4" s="85">
        <v>20</v>
      </c>
      <c r="O4" s="80">
        <v>17500</v>
      </c>
      <c r="P4" s="83" t="s">
        <v>468</v>
      </c>
    </row>
    <row r="5" spans="1:21" x14ac:dyDescent="0.25">
      <c r="A5" t="s">
        <v>124</v>
      </c>
      <c r="B5" t="s">
        <v>146</v>
      </c>
      <c r="C5" t="s">
        <v>147</v>
      </c>
      <c r="G5" t="s">
        <v>30</v>
      </c>
      <c r="H5" s="50">
        <v>1.1834319526627199</v>
      </c>
      <c r="I5" s="50"/>
      <c r="K5" t="s">
        <v>515</v>
      </c>
      <c r="L5" s="81">
        <v>93</v>
      </c>
      <c r="M5" s="82">
        <v>3</v>
      </c>
      <c r="N5" s="85" t="s">
        <v>480</v>
      </c>
      <c r="O5" s="80">
        <v>50750</v>
      </c>
      <c r="P5" s="83"/>
    </row>
    <row r="6" spans="1:21" x14ac:dyDescent="0.25">
      <c r="A6" t="s">
        <v>125</v>
      </c>
      <c r="B6" t="s">
        <v>136</v>
      </c>
      <c r="C6" t="s">
        <v>148</v>
      </c>
      <c r="G6" t="s">
        <v>237</v>
      </c>
      <c r="H6" s="50">
        <v>27.6134122287968</v>
      </c>
      <c r="I6" s="50"/>
      <c r="K6" t="s">
        <v>213</v>
      </c>
      <c r="L6" s="81">
        <v>21</v>
      </c>
      <c r="M6" s="82">
        <v>3</v>
      </c>
      <c r="N6" s="85"/>
      <c r="O6" s="80">
        <v>40000</v>
      </c>
      <c r="P6" s="83" t="s">
        <v>469</v>
      </c>
    </row>
    <row r="7" spans="1:21" x14ac:dyDescent="0.25">
      <c r="A7" t="s">
        <v>128</v>
      </c>
      <c r="B7" t="s">
        <v>135</v>
      </c>
      <c r="C7" t="s">
        <v>153</v>
      </c>
      <c r="G7" t="s">
        <v>238</v>
      </c>
      <c r="H7" s="50">
        <v>24.6305418719211</v>
      </c>
      <c r="I7" s="50"/>
      <c r="K7" t="s">
        <v>214</v>
      </c>
      <c r="L7" s="81">
        <v>72</v>
      </c>
      <c r="M7" s="82"/>
      <c r="N7" s="85"/>
      <c r="O7" s="80">
        <v>90000</v>
      </c>
      <c r="P7" s="83" t="s">
        <v>470</v>
      </c>
    </row>
    <row r="8" spans="1:21" x14ac:dyDescent="0.25">
      <c r="A8" t="s">
        <v>129</v>
      </c>
      <c r="B8" t="s">
        <v>140</v>
      </c>
      <c r="C8" t="s">
        <v>160</v>
      </c>
      <c r="G8" t="s">
        <v>239</v>
      </c>
      <c r="H8" s="50">
        <v>2.96</v>
      </c>
      <c r="I8" s="50"/>
      <c r="K8" t="s">
        <v>211</v>
      </c>
      <c r="L8" s="81"/>
      <c r="M8" s="82"/>
      <c r="N8" s="85"/>
      <c r="O8" s="80"/>
      <c r="P8" s="83" t="s">
        <v>471</v>
      </c>
    </row>
    <row r="9" spans="1:21" x14ac:dyDescent="0.25">
      <c r="A9" t="s">
        <v>121</v>
      </c>
      <c r="B9" t="s">
        <v>139</v>
      </c>
      <c r="C9" t="s">
        <v>158</v>
      </c>
      <c r="G9" t="s">
        <v>246</v>
      </c>
      <c r="H9" s="50">
        <v>35</v>
      </c>
      <c r="I9" s="50"/>
      <c r="K9" t="s">
        <v>517</v>
      </c>
      <c r="L9" s="81">
        <v>42</v>
      </c>
      <c r="M9" s="82">
        <v>6</v>
      </c>
      <c r="N9" s="85" t="s">
        <v>481</v>
      </c>
      <c r="O9" s="80">
        <v>52500</v>
      </c>
      <c r="P9" s="83" t="s">
        <v>472</v>
      </c>
    </row>
    <row r="10" spans="1:21" x14ac:dyDescent="0.25">
      <c r="A10" t="s">
        <v>122</v>
      </c>
      <c r="B10" t="s">
        <v>143</v>
      </c>
      <c r="C10" t="s">
        <v>159</v>
      </c>
      <c r="G10" t="s">
        <v>240</v>
      </c>
      <c r="H10" s="51">
        <v>35.89</v>
      </c>
      <c r="I10" s="51"/>
      <c r="K10" s="85" t="s">
        <v>518</v>
      </c>
      <c r="L10" s="81">
        <v>84</v>
      </c>
      <c r="M10" s="82">
        <v>12</v>
      </c>
      <c r="N10" s="85" t="s">
        <v>481</v>
      </c>
      <c r="O10" s="80">
        <v>90000</v>
      </c>
      <c r="P10" s="83" t="s">
        <v>473</v>
      </c>
    </row>
    <row r="11" spans="1:21" x14ac:dyDescent="0.25">
      <c r="A11" t="s">
        <v>130</v>
      </c>
      <c r="B11" t="s">
        <v>141</v>
      </c>
      <c r="C11" t="s">
        <v>149</v>
      </c>
      <c r="G11" t="s">
        <v>241</v>
      </c>
      <c r="H11" s="50">
        <v>29.585798816568001</v>
      </c>
      <c r="I11" s="50"/>
      <c r="K11" t="s">
        <v>215</v>
      </c>
      <c r="L11" s="81">
        <v>93</v>
      </c>
      <c r="M11" s="82">
        <v>3</v>
      </c>
      <c r="N11" s="85"/>
      <c r="O11" s="80"/>
      <c r="P11" s="83"/>
    </row>
    <row r="12" spans="1:21" x14ac:dyDescent="0.25">
      <c r="A12" t="s">
        <v>131</v>
      </c>
      <c r="B12" t="s">
        <v>142</v>
      </c>
      <c r="C12" t="s">
        <v>150</v>
      </c>
      <c r="G12" t="s">
        <v>242</v>
      </c>
      <c r="H12" s="50">
        <v>25</v>
      </c>
      <c r="I12" s="50"/>
      <c r="K12" t="s">
        <v>216</v>
      </c>
      <c r="L12" s="81">
        <v>42</v>
      </c>
      <c r="M12" s="82">
        <v>6</v>
      </c>
      <c r="N12" s="85"/>
      <c r="O12" s="80">
        <v>63000</v>
      </c>
      <c r="P12" s="83"/>
    </row>
    <row r="13" spans="1:21" x14ac:dyDescent="0.25">
      <c r="A13" t="s">
        <v>123</v>
      </c>
      <c r="B13" t="s">
        <v>144</v>
      </c>
      <c r="C13" t="s">
        <v>145</v>
      </c>
      <c r="G13" t="s">
        <v>243</v>
      </c>
      <c r="H13" s="50">
        <v>19.723865877712001</v>
      </c>
      <c r="I13" s="50"/>
      <c r="K13" t="s">
        <v>217</v>
      </c>
      <c r="L13" s="81">
        <v>42</v>
      </c>
      <c r="M13" s="82">
        <v>6</v>
      </c>
      <c r="N13" s="85"/>
      <c r="O13" s="80">
        <v>23000</v>
      </c>
      <c r="P13" s="83"/>
    </row>
    <row r="14" spans="1:21" x14ac:dyDescent="0.25">
      <c r="A14" t="s">
        <v>132</v>
      </c>
      <c r="B14" t="s">
        <v>162</v>
      </c>
      <c r="C14" t="s">
        <v>161</v>
      </c>
      <c r="G14" t="s">
        <v>244</v>
      </c>
      <c r="H14" s="50">
        <v>10</v>
      </c>
      <c r="I14" s="50"/>
      <c r="K14" t="s">
        <v>219</v>
      </c>
      <c r="L14" s="81">
        <v>1</v>
      </c>
      <c r="M14" s="82">
        <v>0</v>
      </c>
      <c r="N14" s="85">
        <v>8</v>
      </c>
      <c r="O14" s="80">
        <v>25000</v>
      </c>
      <c r="P14" s="83" t="s">
        <v>474</v>
      </c>
    </row>
    <row r="15" spans="1:21" x14ac:dyDescent="0.25">
      <c r="A15" t="s">
        <v>133</v>
      </c>
      <c r="B15" t="s">
        <v>163</v>
      </c>
      <c r="C15" t="s">
        <v>164</v>
      </c>
      <c r="G15" t="s">
        <v>245</v>
      </c>
      <c r="H15" s="50">
        <v>14</v>
      </c>
      <c r="I15" s="50"/>
      <c r="K15" t="s">
        <v>220</v>
      </c>
      <c r="L15" s="81">
        <v>42</v>
      </c>
      <c r="M15" s="82">
        <v>6</v>
      </c>
      <c r="N15" s="85"/>
      <c r="O15" s="80"/>
      <c r="P15" s="83"/>
    </row>
    <row r="16" spans="1:21" x14ac:dyDescent="0.25">
      <c r="A16" t="s">
        <v>134</v>
      </c>
      <c r="B16" t="s">
        <v>165</v>
      </c>
      <c r="C16" t="s">
        <v>152</v>
      </c>
      <c r="G16" t="s">
        <v>247</v>
      </c>
      <c r="H16" s="50">
        <v>0.1</v>
      </c>
      <c r="I16" s="50"/>
      <c r="K16" t="s">
        <v>221</v>
      </c>
      <c r="L16" s="81">
        <v>42</v>
      </c>
      <c r="M16" s="82">
        <v>6</v>
      </c>
      <c r="N16" s="85"/>
      <c r="O16" s="80"/>
      <c r="P16" s="83"/>
    </row>
    <row r="17" spans="1:11" x14ac:dyDescent="0.25">
      <c r="A17" t="s">
        <v>126</v>
      </c>
      <c r="B17" t="s">
        <v>154</v>
      </c>
      <c r="C17" t="s">
        <v>155</v>
      </c>
      <c r="G17" t="s">
        <v>248</v>
      </c>
      <c r="H17" s="50">
        <v>8</v>
      </c>
      <c r="I17" s="50"/>
    </row>
    <row r="18" spans="1:11" x14ac:dyDescent="0.25">
      <c r="G18" t="s">
        <v>249</v>
      </c>
      <c r="H18" s="50">
        <v>0.14792899408283999</v>
      </c>
      <c r="I18" s="50"/>
    </row>
    <row r="19" spans="1:11" ht="30" x14ac:dyDescent="0.25">
      <c r="A19" s="41" t="s">
        <v>183</v>
      </c>
      <c r="G19" s="48" t="s">
        <v>250</v>
      </c>
      <c r="H19" s="50">
        <v>78</v>
      </c>
      <c r="I19" s="50"/>
      <c r="K19" t="s">
        <v>340</v>
      </c>
    </row>
    <row r="20" spans="1:11" x14ac:dyDescent="0.25">
      <c r="A20" t="s">
        <v>176</v>
      </c>
      <c r="G20" t="s">
        <v>251</v>
      </c>
      <c r="H20" s="50">
        <v>28</v>
      </c>
      <c r="I20" s="50"/>
      <c r="K20" t="s">
        <v>342</v>
      </c>
    </row>
    <row r="21" spans="1:11" x14ac:dyDescent="0.25">
      <c r="A21" t="s">
        <v>177</v>
      </c>
      <c r="G21" t="s">
        <v>252</v>
      </c>
      <c r="H21" s="50">
        <v>125</v>
      </c>
      <c r="I21" s="50"/>
      <c r="K21" t="s">
        <v>341</v>
      </c>
    </row>
    <row r="22" spans="1:11" x14ac:dyDescent="0.25">
      <c r="G22" t="s">
        <v>255</v>
      </c>
      <c r="H22" s="50">
        <v>762.47692307692296</v>
      </c>
      <c r="I22" s="50"/>
      <c r="K22" t="s">
        <v>176</v>
      </c>
    </row>
    <row r="23" spans="1:11" x14ac:dyDescent="0.25">
      <c r="A23" s="41"/>
      <c r="B23" s="41"/>
      <c r="C23" s="41"/>
      <c r="G23" t="s">
        <v>256</v>
      </c>
      <c r="H23" s="50">
        <v>86.844181459566002</v>
      </c>
      <c r="I23" s="50"/>
    </row>
    <row r="24" spans="1:11" x14ac:dyDescent="0.25">
      <c r="A24" s="42"/>
      <c r="B24" s="13"/>
      <c r="C24" s="13"/>
      <c r="G24" t="s">
        <v>257</v>
      </c>
      <c r="H24" s="50">
        <v>96.923076923076906</v>
      </c>
      <c r="I24" s="50"/>
      <c r="K24" t="s">
        <v>345</v>
      </c>
    </row>
    <row r="25" spans="1:11" x14ac:dyDescent="0.25">
      <c r="A25" s="42"/>
      <c r="G25" t="s">
        <v>258</v>
      </c>
      <c r="H25" s="50">
        <v>301.80473372781</v>
      </c>
      <c r="I25" s="50"/>
      <c r="K25">
        <v>1</v>
      </c>
    </row>
    <row r="26" spans="1:11" x14ac:dyDescent="0.25">
      <c r="A26" s="42"/>
      <c r="G26" t="s">
        <v>259</v>
      </c>
      <c r="H26" s="50">
        <v>76.508875739644907</v>
      </c>
      <c r="I26" s="50"/>
      <c r="K26">
        <v>2</v>
      </c>
    </row>
    <row r="27" spans="1:11" x14ac:dyDescent="0.25">
      <c r="A27" s="42"/>
      <c r="G27" t="s">
        <v>35</v>
      </c>
      <c r="H27" s="50">
        <v>15</v>
      </c>
      <c r="I27" s="50"/>
      <c r="K27">
        <v>3</v>
      </c>
    </row>
    <row r="28" spans="1:11" x14ac:dyDescent="0.25">
      <c r="A28" s="42"/>
      <c r="G28" t="s">
        <v>36</v>
      </c>
      <c r="H28" s="50">
        <v>220</v>
      </c>
      <c r="I28" s="50"/>
      <c r="K28">
        <v>4</v>
      </c>
    </row>
    <row r="29" spans="1:11" x14ac:dyDescent="0.25">
      <c r="A29" s="42"/>
      <c r="G29" t="s">
        <v>260</v>
      </c>
      <c r="H29" s="51">
        <v>381</v>
      </c>
      <c r="I29" s="50"/>
      <c r="K29">
        <v>5</v>
      </c>
    </row>
    <row r="30" spans="1:11" x14ac:dyDescent="0.25">
      <c r="A30" s="42"/>
      <c r="G30" t="s">
        <v>261</v>
      </c>
      <c r="H30" s="51">
        <v>381</v>
      </c>
      <c r="I30" s="50"/>
      <c r="K30">
        <v>6</v>
      </c>
    </row>
    <row r="31" spans="1:11" x14ac:dyDescent="0.25">
      <c r="A31" s="42"/>
      <c r="G31" t="s">
        <v>262</v>
      </c>
      <c r="H31" s="50">
        <v>180</v>
      </c>
      <c r="I31" s="50"/>
      <c r="K31">
        <v>7</v>
      </c>
    </row>
    <row r="32" spans="1:11" x14ac:dyDescent="0.25">
      <c r="A32" s="42"/>
      <c r="G32" t="s">
        <v>263</v>
      </c>
      <c r="H32" s="50">
        <v>44</v>
      </c>
      <c r="I32" s="50"/>
      <c r="K32">
        <v>8</v>
      </c>
    </row>
    <row r="33" spans="1:12" x14ac:dyDescent="0.25">
      <c r="G33" t="s">
        <v>264</v>
      </c>
      <c r="H33" s="50">
        <v>308</v>
      </c>
      <c r="I33" s="50"/>
      <c r="K33">
        <v>9</v>
      </c>
    </row>
    <row r="34" spans="1:12" x14ac:dyDescent="0.25">
      <c r="A34" s="41" t="s">
        <v>192</v>
      </c>
      <c r="B34" s="41"/>
      <c r="C34" s="41"/>
      <c r="D34" s="41"/>
      <c r="E34" s="41"/>
      <c r="G34" t="s">
        <v>265</v>
      </c>
      <c r="H34" s="50">
        <v>144</v>
      </c>
      <c r="I34" s="51"/>
      <c r="K34">
        <v>10</v>
      </c>
    </row>
    <row r="35" spans="1:12" x14ac:dyDescent="0.25">
      <c r="A35" t="s">
        <v>190</v>
      </c>
      <c r="G35" t="s">
        <v>266</v>
      </c>
      <c r="H35" s="50">
        <v>96</v>
      </c>
      <c r="I35" s="51"/>
    </row>
    <row r="36" spans="1:12" x14ac:dyDescent="0.25">
      <c r="A36" t="s">
        <v>191</v>
      </c>
      <c r="G36" t="s">
        <v>267</v>
      </c>
      <c r="H36" s="50">
        <v>384</v>
      </c>
      <c r="I36" s="50"/>
    </row>
    <row r="37" spans="1:12" x14ac:dyDescent="0.25">
      <c r="A37" t="s">
        <v>86</v>
      </c>
      <c r="G37" t="s">
        <v>268</v>
      </c>
      <c r="H37" s="50">
        <f>10400/101.4</f>
        <v>102.56410256410255</v>
      </c>
      <c r="I37" s="50"/>
      <c r="K37" s="41" t="s">
        <v>356</v>
      </c>
    </row>
    <row r="38" spans="1:12" x14ac:dyDescent="0.25">
      <c r="A38" s="41" t="s">
        <v>193</v>
      </c>
      <c r="B38" s="41"/>
      <c r="C38" s="41"/>
      <c r="D38" s="41"/>
      <c r="E38" s="41"/>
      <c r="G38" t="s">
        <v>269</v>
      </c>
      <c r="H38" s="50">
        <f>10400/101.4</f>
        <v>102.56410256410255</v>
      </c>
      <c r="I38" s="50"/>
      <c r="K38" t="s">
        <v>357</v>
      </c>
    </row>
    <row r="39" spans="1:12" x14ac:dyDescent="0.25">
      <c r="A39" t="s">
        <v>194</v>
      </c>
      <c r="G39" t="s">
        <v>270</v>
      </c>
      <c r="H39" s="50">
        <v>163</v>
      </c>
      <c r="I39" s="50"/>
      <c r="K39" t="s">
        <v>358</v>
      </c>
    </row>
    <row r="40" spans="1:12" x14ac:dyDescent="0.25">
      <c r="A40" t="s">
        <v>195</v>
      </c>
      <c r="G40" t="s">
        <v>271</v>
      </c>
      <c r="H40" s="50">
        <v>28</v>
      </c>
      <c r="I40" s="50"/>
      <c r="K40" t="s">
        <v>359</v>
      </c>
    </row>
    <row r="41" spans="1:12" x14ac:dyDescent="0.25">
      <c r="A41" t="s">
        <v>86</v>
      </c>
      <c r="G41" t="s">
        <v>272</v>
      </c>
      <c r="H41" s="50">
        <f>2500/101.4</f>
        <v>24.654832347140037</v>
      </c>
      <c r="I41" s="50"/>
      <c r="K41" t="s">
        <v>69</v>
      </c>
    </row>
    <row r="42" spans="1:12" x14ac:dyDescent="0.25">
      <c r="A42" s="41" t="s">
        <v>189</v>
      </c>
      <c r="B42" s="41"/>
      <c r="C42" s="41"/>
      <c r="D42" s="41"/>
      <c r="E42" s="41"/>
      <c r="G42" t="s">
        <v>273</v>
      </c>
      <c r="H42" s="50">
        <v>676</v>
      </c>
      <c r="I42" s="50"/>
      <c r="K42" t="s">
        <v>360</v>
      </c>
    </row>
    <row r="43" spans="1:12" x14ac:dyDescent="0.25">
      <c r="A43" t="s">
        <v>196</v>
      </c>
      <c r="G43" t="s">
        <v>39</v>
      </c>
      <c r="H43" s="50">
        <v>7.8895463510848103</v>
      </c>
      <c r="I43" s="50"/>
    </row>
    <row r="44" spans="1:12" x14ac:dyDescent="0.25">
      <c r="A44" t="s">
        <v>197</v>
      </c>
      <c r="G44" t="s">
        <v>278</v>
      </c>
      <c r="H44" s="51">
        <v>381</v>
      </c>
      <c r="I44" s="50"/>
    </row>
    <row r="45" spans="1:12" x14ac:dyDescent="0.25">
      <c r="A45" t="s">
        <v>86</v>
      </c>
      <c r="G45" t="s">
        <v>279</v>
      </c>
      <c r="H45" s="51">
        <v>381</v>
      </c>
      <c r="I45" s="50"/>
      <c r="K45" s="41" t="s">
        <v>371</v>
      </c>
    </row>
    <row r="46" spans="1:12" x14ac:dyDescent="0.25">
      <c r="G46" t="s">
        <v>280</v>
      </c>
      <c r="H46" s="50">
        <v>44</v>
      </c>
      <c r="I46" s="50"/>
      <c r="K46" t="s">
        <v>372</v>
      </c>
      <c r="L46" s="12">
        <v>1.98</v>
      </c>
    </row>
    <row r="47" spans="1:12" x14ac:dyDescent="0.25">
      <c r="G47" t="s">
        <v>281</v>
      </c>
      <c r="H47" s="50">
        <v>180</v>
      </c>
      <c r="I47" s="50"/>
      <c r="K47" t="s">
        <v>373</v>
      </c>
      <c r="L47" s="12">
        <v>12.38</v>
      </c>
    </row>
    <row r="48" spans="1:12" x14ac:dyDescent="0.25">
      <c r="G48" t="s">
        <v>282</v>
      </c>
      <c r="H48" s="50">
        <v>308</v>
      </c>
      <c r="I48" s="50"/>
      <c r="K48" t="s">
        <v>90</v>
      </c>
      <c r="L48" s="12">
        <v>30</v>
      </c>
    </row>
    <row r="49" spans="7:15" x14ac:dyDescent="0.25">
      <c r="G49" t="s">
        <v>283</v>
      </c>
      <c r="H49" s="50">
        <v>384</v>
      </c>
      <c r="I49" s="50"/>
      <c r="K49" t="s">
        <v>374</v>
      </c>
    </row>
    <row r="50" spans="7:15" x14ac:dyDescent="0.25">
      <c r="G50" t="s">
        <v>284</v>
      </c>
      <c r="H50" s="50">
        <v>220</v>
      </c>
      <c r="I50" s="50"/>
    </row>
    <row r="51" spans="7:15" x14ac:dyDescent="0.25">
      <c r="G51" t="s">
        <v>285</v>
      </c>
      <c r="H51" s="50">
        <v>97</v>
      </c>
      <c r="I51" s="50"/>
    </row>
    <row r="52" spans="7:15" x14ac:dyDescent="0.25">
      <c r="G52" t="s">
        <v>286</v>
      </c>
      <c r="H52" s="50">
        <v>6.4102564102564097</v>
      </c>
      <c r="I52" s="50"/>
      <c r="K52" s="41" t="s">
        <v>441</v>
      </c>
      <c r="L52" s="13"/>
      <c r="M52" s="13"/>
      <c r="N52" s="13"/>
      <c r="O52" s="13"/>
    </row>
    <row r="53" spans="7:15" x14ac:dyDescent="0.25">
      <c r="G53" t="s">
        <v>287</v>
      </c>
      <c r="H53" s="50">
        <v>105</v>
      </c>
      <c r="I53" s="51"/>
      <c r="K53" t="s">
        <v>442</v>
      </c>
      <c r="L53" s="13"/>
      <c r="M53" s="13"/>
      <c r="N53" s="13"/>
      <c r="O53" s="13"/>
    </row>
    <row r="54" spans="7:15" x14ac:dyDescent="0.25">
      <c r="G54" t="s">
        <v>289</v>
      </c>
      <c r="H54" s="51">
        <v>5.38</v>
      </c>
      <c r="I54" s="51"/>
      <c r="K54" t="s">
        <v>443</v>
      </c>
    </row>
    <row r="55" spans="7:15" x14ac:dyDescent="0.25">
      <c r="G55" t="s">
        <v>290</v>
      </c>
      <c r="H55" s="50">
        <v>24.654832347140001</v>
      </c>
      <c r="I55" s="50"/>
      <c r="K55" t="s">
        <v>449</v>
      </c>
    </row>
    <row r="56" spans="7:15" x14ac:dyDescent="0.25">
      <c r="G56" t="s">
        <v>291</v>
      </c>
      <c r="H56" s="50">
        <f>1700/101.4</f>
        <v>16.765285996055226</v>
      </c>
      <c r="I56" s="50"/>
      <c r="K56" t="s">
        <v>444</v>
      </c>
    </row>
    <row r="57" spans="7:15" x14ac:dyDescent="0.25">
      <c r="G57" t="s">
        <v>292</v>
      </c>
      <c r="H57" s="50">
        <f>630/101.4</f>
        <v>6.2130177514792893</v>
      </c>
      <c r="I57" s="50"/>
      <c r="K57" t="s">
        <v>448</v>
      </c>
    </row>
    <row r="58" spans="7:15" x14ac:dyDescent="0.25">
      <c r="G58" t="s">
        <v>293</v>
      </c>
      <c r="H58" s="50">
        <f>19500/101.4</f>
        <v>192.30769230769229</v>
      </c>
      <c r="I58" s="50"/>
      <c r="K58" t="s">
        <v>445</v>
      </c>
    </row>
    <row r="59" spans="7:15" ht="30" x14ac:dyDescent="0.25">
      <c r="G59" s="48" t="s">
        <v>294</v>
      </c>
      <c r="H59" s="50">
        <f>12000/101.4</f>
        <v>118.34319526627219</v>
      </c>
      <c r="I59" s="50"/>
      <c r="K59" t="s">
        <v>446</v>
      </c>
    </row>
    <row r="60" spans="7:15" x14ac:dyDescent="0.25">
      <c r="G60" t="s">
        <v>295</v>
      </c>
      <c r="H60" s="50">
        <f>1000/101.4</f>
        <v>9.8619329388560146</v>
      </c>
      <c r="I60" s="50"/>
      <c r="K60" t="s">
        <v>447</v>
      </c>
    </row>
    <row r="61" spans="7:15" x14ac:dyDescent="0.25">
      <c r="G61" t="s">
        <v>296</v>
      </c>
      <c r="H61" s="50">
        <f>1210/101.4</f>
        <v>11.932938856015779</v>
      </c>
      <c r="I61" s="50"/>
      <c r="K61" s="71" t="s">
        <v>86</v>
      </c>
    </row>
    <row r="62" spans="7:15" x14ac:dyDescent="0.25">
      <c r="G62" t="s">
        <v>297</v>
      </c>
      <c r="H62" s="50">
        <f>275/101.4</f>
        <v>2.7120315581854042</v>
      </c>
      <c r="I62" s="50"/>
    </row>
    <row r="63" spans="7:15" x14ac:dyDescent="0.25">
      <c r="G63" t="s">
        <v>298</v>
      </c>
      <c r="H63" s="50">
        <f>500/101.4</f>
        <v>4.9309664694280073</v>
      </c>
      <c r="I63" s="50"/>
    </row>
    <row r="64" spans="7:15" x14ac:dyDescent="0.25">
      <c r="G64" t="s">
        <v>299</v>
      </c>
      <c r="H64" s="50">
        <f>3000/101.4</f>
        <v>29.585798816568047</v>
      </c>
      <c r="I64" s="51"/>
    </row>
    <row r="65" spans="7:9" x14ac:dyDescent="0.25">
      <c r="G65" t="s">
        <v>300</v>
      </c>
      <c r="H65" s="50">
        <f>92/101.4</f>
        <v>0.90729783037475342</v>
      </c>
      <c r="I65" s="50"/>
    </row>
    <row r="66" spans="7:9" x14ac:dyDescent="0.25">
      <c r="G66" t="s">
        <v>301</v>
      </c>
      <c r="H66" s="50">
        <f>100/101.4</f>
        <v>0.98619329388560151</v>
      </c>
      <c r="I66" s="50"/>
    </row>
    <row r="67" spans="7:9" x14ac:dyDescent="0.25">
      <c r="G67" t="s">
        <v>302</v>
      </c>
      <c r="H67" s="50">
        <f>60/101.4</f>
        <v>0.59171597633136086</v>
      </c>
      <c r="I67" s="50"/>
    </row>
    <row r="68" spans="7:9" x14ac:dyDescent="0.25">
      <c r="G68" t="s">
        <v>303</v>
      </c>
      <c r="H68" s="50">
        <f>30/101.4</f>
        <v>0.29585798816568043</v>
      </c>
      <c r="I68" s="50"/>
    </row>
    <row r="69" spans="7:9" ht="16.899999999999999" customHeight="1" x14ac:dyDescent="0.25">
      <c r="G69" t="s">
        <v>304</v>
      </c>
      <c r="H69" s="50">
        <f>650/101.4</f>
        <v>6.4102564102564097</v>
      </c>
      <c r="I69" s="50"/>
    </row>
    <row r="70" spans="7:9" x14ac:dyDescent="0.25">
      <c r="G70" t="s">
        <v>305</v>
      </c>
      <c r="H70" s="50">
        <f>600/10-1.4</f>
        <v>58.6</v>
      </c>
      <c r="I70" s="50"/>
    </row>
    <row r="71" spans="7:9" x14ac:dyDescent="0.25">
      <c r="G71" t="s">
        <v>306</v>
      </c>
      <c r="H71" s="50">
        <f>192/101.4</f>
        <v>1.8934911242603549</v>
      </c>
      <c r="I71" s="50"/>
    </row>
    <row r="72" spans="7:9" x14ac:dyDescent="0.25">
      <c r="G72" t="s">
        <v>317</v>
      </c>
      <c r="H72" s="50">
        <f>44/101.4</f>
        <v>0.43392504930966469</v>
      </c>
      <c r="I72" s="50"/>
    </row>
    <row r="73" spans="7:9" x14ac:dyDescent="0.25">
      <c r="G73" t="s">
        <v>307</v>
      </c>
      <c r="H73" s="50">
        <f>80/101.4</f>
        <v>0.78895463510848118</v>
      </c>
      <c r="I73" s="50"/>
    </row>
    <row r="74" spans="7:9" x14ac:dyDescent="0.25">
      <c r="G74" t="s">
        <v>308</v>
      </c>
      <c r="H74" s="50">
        <f>3000/101.4</f>
        <v>29.585798816568047</v>
      </c>
      <c r="I74" s="50"/>
    </row>
    <row r="75" spans="7:9" x14ac:dyDescent="0.25">
      <c r="G75" t="s">
        <v>309</v>
      </c>
      <c r="H75" s="50">
        <f>8500/101.4</f>
        <v>83.826429980276131</v>
      </c>
      <c r="I75" s="50"/>
    </row>
    <row r="76" spans="7:9" x14ac:dyDescent="0.25">
      <c r="G76" t="s">
        <v>310</v>
      </c>
      <c r="H76" s="50">
        <f>8640/101.4</f>
        <v>85.207100591715971</v>
      </c>
      <c r="I76" s="50"/>
    </row>
    <row r="77" spans="7:9" x14ac:dyDescent="0.25">
      <c r="G77" t="s">
        <v>311</v>
      </c>
      <c r="H77" s="50">
        <f>13128/101.4</f>
        <v>129.46745562130178</v>
      </c>
      <c r="I77" s="50"/>
    </row>
    <row r="78" spans="7:9" x14ac:dyDescent="0.25">
      <c r="G78" t="s">
        <v>312</v>
      </c>
      <c r="H78" s="50">
        <f>15510/101.4</f>
        <v>152.95857988165679</v>
      </c>
      <c r="I78" s="50"/>
    </row>
    <row r="79" spans="7:9" x14ac:dyDescent="0.25">
      <c r="G79" t="s">
        <v>313</v>
      </c>
      <c r="H79" s="50">
        <v>152.96</v>
      </c>
      <c r="I79" s="50"/>
    </row>
    <row r="80" spans="7:9" x14ac:dyDescent="0.25">
      <c r="G80" t="s">
        <v>314</v>
      </c>
      <c r="H80" s="51">
        <v>4.47</v>
      </c>
      <c r="I80" s="50"/>
    </row>
    <row r="81" spans="7:9" x14ac:dyDescent="0.25">
      <c r="G81" t="s">
        <v>315</v>
      </c>
      <c r="H81" s="51">
        <v>26.92</v>
      </c>
      <c r="I81" s="50"/>
    </row>
    <row r="82" spans="7:9" x14ac:dyDescent="0.25">
      <c r="G82" t="s">
        <v>316</v>
      </c>
      <c r="H82" s="51">
        <v>4.47</v>
      </c>
      <c r="I82" s="50"/>
    </row>
    <row r="83" spans="7:9" x14ac:dyDescent="0.25">
      <c r="G83" t="s">
        <v>31</v>
      </c>
      <c r="H83" s="52">
        <v>0.01</v>
      </c>
      <c r="I83" s="50"/>
    </row>
    <row r="84" spans="7:9" x14ac:dyDescent="0.25">
      <c r="G84" t="s">
        <v>37</v>
      </c>
      <c r="H84" s="52">
        <v>3.44</v>
      </c>
      <c r="I84" s="50"/>
    </row>
    <row r="85" spans="7:9" x14ac:dyDescent="0.25">
      <c r="G85" t="s">
        <v>38</v>
      </c>
      <c r="H85" s="52">
        <v>2.2200000000000002</v>
      </c>
      <c r="I85" s="50"/>
    </row>
    <row r="86" spans="7:9" x14ac:dyDescent="0.25">
      <c r="G86" t="s">
        <v>40</v>
      </c>
      <c r="H86" s="50">
        <v>256</v>
      </c>
      <c r="I86" s="50"/>
    </row>
    <row r="87" spans="7:9" x14ac:dyDescent="0.25">
      <c r="G87" t="s">
        <v>41</v>
      </c>
      <c r="H87" s="50">
        <v>256</v>
      </c>
      <c r="I87" s="50"/>
    </row>
    <row r="88" spans="7:9" x14ac:dyDescent="0.25">
      <c r="G88" s="71" t="s">
        <v>86</v>
      </c>
      <c r="I88" s="50"/>
    </row>
    <row r="89" spans="7:9" x14ac:dyDescent="0.25">
      <c r="I89" s="50"/>
    </row>
    <row r="90" spans="7:9" x14ac:dyDescent="0.25">
      <c r="G90" s="41" t="s">
        <v>438</v>
      </c>
      <c r="H90" s="49"/>
      <c r="I90" s="51"/>
    </row>
    <row r="91" spans="7:9" x14ac:dyDescent="0.25">
      <c r="G91" t="s">
        <v>253</v>
      </c>
      <c r="H91" s="70">
        <v>523</v>
      </c>
      <c r="I91" s="51"/>
    </row>
    <row r="92" spans="7:9" x14ac:dyDescent="0.25">
      <c r="G92" t="s">
        <v>254</v>
      </c>
      <c r="H92" s="70">
        <v>444.73372781065001</v>
      </c>
      <c r="I92" s="51"/>
    </row>
    <row r="93" spans="7:9" x14ac:dyDescent="0.25">
      <c r="G93" t="s">
        <v>32</v>
      </c>
      <c r="H93" s="70">
        <v>288</v>
      </c>
      <c r="I93" s="52"/>
    </row>
    <row r="94" spans="7:9" ht="30" x14ac:dyDescent="0.25">
      <c r="G94" s="48" t="s">
        <v>33</v>
      </c>
      <c r="H94" s="70">
        <v>686</v>
      </c>
      <c r="I94" s="52"/>
    </row>
    <row r="95" spans="7:9" ht="30" x14ac:dyDescent="0.25">
      <c r="G95" s="48" t="s">
        <v>34</v>
      </c>
      <c r="H95" s="70">
        <v>230</v>
      </c>
      <c r="I95" s="52"/>
    </row>
    <row r="96" spans="7:9" x14ac:dyDescent="0.25">
      <c r="G96" t="s">
        <v>273</v>
      </c>
      <c r="H96" s="70">
        <v>300</v>
      </c>
      <c r="I96" s="50"/>
    </row>
    <row r="97" spans="7:9" x14ac:dyDescent="0.25">
      <c r="G97" t="s">
        <v>274</v>
      </c>
      <c r="H97" s="70">
        <v>288</v>
      </c>
      <c r="I97" s="50"/>
    </row>
    <row r="98" spans="7:9" x14ac:dyDescent="0.25">
      <c r="G98" t="s">
        <v>276</v>
      </c>
      <c r="H98" s="70">
        <v>230</v>
      </c>
    </row>
    <row r="99" spans="7:9" x14ac:dyDescent="0.25">
      <c r="G99" t="s">
        <v>277</v>
      </c>
      <c r="H99" s="70">
        <v>230</v>
      </c>
    </row>
    <row r="100" spans="7:9" x14ac:dyDescent="0.25">
      <c r="G100" t="s">
        <v>275</v>
      </c>
      <c r="H100" s="70">
        <v>288</v>
      </c>
    </row>
    <row r="101" spans="7:9" x14ac:dyDescent="0.25">
      <c r="G101" t="s">
        <v>288</v>
      </c>
      <c r="H101" s="50">
        <v>690.33530571992105</v>
      </c>
    </row>
    <row r="102" spans="7:9" x14ac:dyDescent="0.25">
      <c r="G102" t="s">
        <v>507</v>
      </c>
      <c r="H102" s="42">
        <v>25</v>
      </c>
    </row>
    <row r="103" spans="7:9" x14ac:dyDescent="0.25">
      <c r="G103" t="s">
        <v>508</v>
      </c>
      <c r="H103" s="42">
        <v>16.8</v>
      </c>
    </row>
    <row r="104" spans="7:9" x14ac:dyDescent="0.25">
      <c r="G104" s="71" t="s">
        <v>86</v>
      </c>
    </row>
  </sheetData>
  <sortState ref="A2:C16">
    <sortCondition ref="A2"/>
  </sortState>
  <mergeCells count="2">
    <mergeCell ref="A2:D2"/>
    <mergeCell ref="P2:U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A900"/>
  </sheetPr>
  <dimension ref="A1:AJ207"/>
  <sheetViews>
    <sheetView workbookViewId="0">
      <selection activeCell="A9" sqref="A9"/>
    </sheetView>
  </sheetViews>
  <sheetFormatPr defaultRowHeight="15" x14ac:dyDescent="0.25"/>
  <cols>
    <col min="1" max="1" width="48.28515625" customWidth="1"/>
    <col min="2" max="12" width="13.28515625" bestFit="1" customWidth="1"/>
    <col min="13" max="13" width="13.28515625" customWidth="1"/>
  </cols>
  <sheetData>
    <row r="1" spans="1:36" ht="37.5" x14ac:dyDescent="0.3">
      <c r="A1" s="498" t="s">
        <v>502</v>
      </c>
      <c r="B1" s="497" t="s">
        <v>179</v>
      </c>
      <c r="C1" s="497"/>
      <c r="D1" s="497"/>
      <c r="E1" s="497"/>
      <c r="F1" s="497"/>
      <c r="G1" s="497"/>
      <c r="H1" s="497"/>
      <c r="I1" s="497"/>
      <c r="J1" s="497"/>
      <c r="K1" s="497"/>
      <c r="L1" s="497"/>
      <c r="M1" s="16"/>
      <c r="N1" s="497" t="s">
        <v>180</v>
      </c>
      <c r="O1" s="497"/>
      <c r="P1" s="497"/>
      <c r="Q1" s="497"/>
      <c r="R1" s="497"/>
      <c r="S1" s="497"/>
      <c r="T1" s="497"/>
      <c r="U1" s="497"/>
      <c r="V1" s="497"/>
      <c r="W1" s="497"/>
      <c r="X1" s="497"/>
      <c r="Y1" s="16"/>
      <c r="Z1" t="s">
        <v>181</v>
      </c>
    </row>
    <row r="2" spans="1:36" x14ac:dyDescent="0.25">
      <c r="B2">
        <f>'[2]Service calculations'!B1</f>
        <v>2015</v>
      </c>
      <c r="C2">
        <f>'[2]Service calculations'!C1</f>
        <v>2016</v>
      </c>
      <c r="D2">
        <f>'[2]Service calculations'!D1</f>
        <v>2017</v>
      </c>
      <c r="E2">
        <f>'[2]Service calculations'!E1</f>
        <v>2018</v>
      </c>
      <c r="F2">
        <f>'[2]Service calculations'!F1</f>
        <v>2019</v>
      </c>
      <c r="G2">
        <f>'[2]Service calculations'!G1</f>
        <v>2020</v>
      </c>
      <c r="H2">
        <f>'[2]Service calculations'!H1</f>
        <v>2021</v>
      </c>
      <c r="I2">
        <f>'[2]Service calculations'!I1</f>
        <v>2022</v>
      </c>
      <c r="J2">
        <f>'[2]Service calculations'!J1</f>
        <v>2023</v>
      </c>
      <c r="K2">
        <f>'[2]Service calculations'!K1</f>
        <v>2024</v>
      </c>
      <c r="L2">
        <f>'[2]Service calculations'!L1</f>
        <v>2025</v>
      </c>
      <c r="N2">
        <f t="shared" ref="N2:X2" si="0">B2</f>
        <v>2015</v>
      </c>
      <c r="O2">
        <f t="shared" si="0"/>
        <v>2016</v>
      </c>
      <c r="P2">
        <f t="shared" si="0"/>
        <v>2017</v>
      </c>
      <c r="Q2">
        <f t="shared" si="0"/>
        <v>2018</v>
      </c>
      <c r="R2">
        <f t="shared" si="0"/>
        <v>2019</v>
      </c>
      <c r="S2">
        <f t="shared" si="0"/>
        <v>2020</v>
      </c>
      <c r="T2">
        <f t="shared" si="0"/>
        <v>2021</v>
      </c>
      <c r="U2">
        <f t="shared" si="0"/>
        <v>2022</v>
      </c>
      <c r="V2">
        <f t="shared" si="0"/>
        <v>2023</v>
      </c>
      <c r="W2">
        <f t="shared" si="0"/>
        <v>2024</v>
      </c>
      <c r="X2">
        <f t="shared" si="0"/>
        <v>2025</v>
      </c>
      <c r="Z2">
        <f>N2</f>
        <v>2015</v>
      </c>
      <c r="AA2">
        <f t="shared" ref="AA2:AJ2" si="1">O2</f>
        <v>2016</v>
      </c>
      <c r="AB2">
        <f t="shared" si="1"/>
        <v>2017</v>
      </c>
      <c r="AC2">
        <f t="shared" si="1"/>
        <v>2018</v>
      </c>
      <c r="AD2">
        <f t="shared" si="1"/>
        <v>2019</v>
      </c>
      <c r="AE2">
        <f t="shared" si="1"/>
        <v>2020</v>
      </c>
      <c r="AF2">
        <f t="shared" si="1"/>
        <v>2021</v>
      </c>
      <c r="AG2">
        <f t="shared" si="1"/>
        <v>2022</v>
      </c>
      <c r="AH2">
        <f t="shared" si="1"/>
        <v>2023</v>
      </c>
      <c r="AI2">
        <f t="shared" si="1"/>
        <v>2024</v>
      </c>
      <c r="AJ2">
        <f t="shared" si="1"/>
        <v>2025</v>
      </c>
    </row>
    <row r="3" spans="1:36" x14ac:dyDescent="0.25">
      <c r="A3" t="str">
        <f>'[2]Country populations'!A4</f>
        <v>Afghanistan</v>
      </c>
      <c r="B3" s="40">
        <f>IF([2]Setup!$B$19=[2]Setup!$T$19,'[2]Country populations'!B4,'[2]Country populations'!M4)</f>
        <v>5181</v>
      </c>
      <c r="C3" s="40">
        <f>IF([2]Setup!$B$19=[2]Setup!$T$19,'[2]Country populations'!C4,'[2]Country populations'!N4)</f>
        <v>5553</v>
      </c>
      <c r="D3" s="40">
        <f>IF([2]Setup!$B$19=[2]Setup!$T$19,'[2]Country populations'!D4,'[2]Country populations'!O4)</f>
        <v>5948</v>
      </c>
      <c r="E3" s="40">
        <f>IF([2]Setup!$B$19=[2]Setup!$T$19,'[2]Country populations'!E4,'[2]Country populations'!P4)</f>
        <v>6374</v>
      </c>
      <c r="F3" s="40">
        <f>IF([2]Setup!$B$19=[2]Setup!$T$19,'[2]Country populations'!F4,'[2]Country populations'!Q4)</f>
        <v>6830</v>
      </c>
      <c r="G3" s="40">
        <f>IF([2]Setup!$B$19=[2]Setup!$T$19,'[2]Country populations'!G4,'[2]Country populations'!R4)</f>
        <v>7325</v>
      </c>
      <c r="H3" s="40">
        <f>IF([2]Setup!$B$19=[2]Setup!$T$19,'[2]Country populations'!H4,'[2]Country populations'!S4)</f>
        <v>7824</v>
      </c>
      <c r="I3" s="40">
        <f>IF([2]Setup!$B$19=[2]Setup!$T$19,'[2]Country populations'!I4,'[2]Country populations'!T4)</f>
        <v>8322</v>
      </c>
      <c r="J3" s="40">
        <f>IF([2]Setup!$B$19=[2]Setup!$T$19,'[2]Country populations'!J4,'[2]Country populations'!U4)</f>
        <v>8817</v>
      </c>
      <c r="K3" s="40">
        <f>IF([2]Setup!$B$19=[2]Setup!$T$19,'[2]Country populations'!K4,'[2]Country populations'!V4)</f>
        <v>9307</v>
      </c>
      <c r="L3" s="40">
        <f>IF([2]Setup!$B$19=[2]Setup!$T$19,'[2]Country populations'!L4,'[2]Country populations'!W4)</f>
        <v>9788</v>
      </c>
      <c r="M3" s="40" t="str">
        <f>A3</f>
        <v>Afghanistan</v>
      </c>
      <c r="N3" s="40">
        <f>IF([2]Setup!$B$20=[2]Setup!$U$19,'[2]Country populations'!X4,'[2]Country populations'!AI4)</f>
        <v>490</v>
      </c>
      <c r="O3" s="40">
        <f>IF([2]Setup!$B$20=[2]Setup!$U$19,'[2]Country populations'!Y4,'[2]Country populations'!AJ4)</f>
        <v>508</v>
      </c>
      <c r="P3" s="40">
        <f>IF([2]Setup!$B$20=[2]Setup!$U$19,'[2]Country populations'!Z4,'[2]Country populations'!AK4)</f>
        <v>524</v>
      </c>
      <c r="Q3" s="40">
        <f>IF([2]Setup!$B$20=[2]Setup!$U$19,'[2]Country populations'!AA4,'[2]Country populations'!AL4)</f>
        <v>541</v>
      </c>
      <c r="R3" s="40">
        <f>IF([2]Setup!$B$20=[2]Setup!$U$19,'[2]Country populations'!AB4,'[2]Country populations'!AM4)</f>
        <v>558</v>
      </c>
      <c r="S3" s="40">
        <f>IF([2]Setup!$B$20=[2]Setup!$U$19,'[2]Country populations'!AC4,'[2]Country populations'!AN4)</f>
        <v>575</v>
      </c>
      <c r="T3" s="40">
        <f>IF([2]Setup!$B$20=[2]Setup!$U$19,'[2]Country populations'!AD4,'[2]Country populations'!AO4)</f>
        <v>593</v>
      </c>
      <c r="U3" s="40">
        <f>IF([2]Setup!$B$20=[2]Setup!$U$19,'[2]Country populations'!AE4,'[2]Country populations'!AP4)</f>
        <v>610</v>
      </c>
      <c r="V3" s="40">
        <f>IF([2]Setup!$B$20=[2]Setup!$U$19,'[2]Country populations'!AF4,'[2]Country populations'!AQ4)</f>
        <v>628</v>
      </c>
      <c r="W3" s="40">
        <f>IF([2]Setup!$B$20=[2]Setup!$U$19,'[2]Country populations'!AG4,'[2]Country populations'!AR4)</f>
        <v>645</v>
      </c>
      <c r="X3" s="40">
        <f>IF([2]Setup!$B$20=[2]Setup!$U$19,'[2]Country populations'!AH4,'[2]Country populations'!AS4)</f>
        <v>663</v>
      </c>
      <c r="Y3" s="40" t="str">
        <f>M3</f>
        <v>Afghanistan</v>
      </c>
      <c r="Z3" s="40">
        <f>IF([2]Setup!$B$21=[2]Setup!$V$19,'[2]Country populations'!AT4,'[2]Country populations'!BE4)</f>
        <v>181</v>
      </c>
      <c r="AA3" s="40">
        <f>IF([2]Setup!$B$21=[2]Setup!$V$19,'[2]Country populations'!AU4,'[2]Country populations'!BF4)</f>
        <v>186</v>
      </c>
      <c r="AB3" s="40">
        <f>IF([2]Setup!$B$21=[2]Setup!$V$19,'[2]Country populations'!AV4,'[2]Country populations'!BG4)</f>
        <v>191</v>
      </c>
      <c r="AC3" s="40">
        <f>IF([2]Setup!$B$21=[2]Setup!$V$19,'[2]Country populations'!AW4,'[2]Country populations'!BH4)</f>
        <v>196</v>
      </c>
      <c r="AD3" s="40">
        <f>IF([2]Setup!$B$21=[2]Setup!$V$19,'[2]Country populations'!AX4,'[2]Country populations'!BI4)</f>
        <v>202</v>
      </c>
      <c r="AE3" s="40">
        <f>IF([2]Setup!$B$21=[2]Setup!$V$19,'[2]Country populations'!AY4,'[2]Country populations'!BJ4)</f>
        <v>210</v>
      </c>
      <c r="AF3" s="40">
        <f>IF([2]Setup!$B$21=[2]Setup!$V$19,'[2]Country populations'!AZ4,'[2]Country populations'!BK4)</f>
        <v>218</v>
      </c>
      <c r="AG3" s="40">
        <f>IF([2]Setup!$B$21=[2]Setup!$V$19,'[2]Country populations'!BA4,'[2]Country populations'!BL4)</f>
        <v>226</v>
      </c>
      <c r="AH3" s="40">
        <f>IF([2]Setup!$B$21=[2]Setup!$V$19,'[2]Country populations'!BB4,'[2]Country populations'!BM4)</f>
        <v>234</v>
      </c>
      <c r="AI3" s="40">
        <f>IF([2]Setup!$B$21=[2]Setup!$V$19,'[2]Country populations'!BC4,'[2]Country populations'!BN4)</f>
        <v>241</v>
      </c>
      <c r="AJ3" s="40">
        <f>IF([2]Setup!$B$21=[2]Setup!$V$19,'[2]Country populations'!BD4,'[2]Country populations'!BO4)</f>
        <v>248</v>
      </c>
    </row>
    <row r="4" spans="1:36" x14ac:dyDescent="0.25">
      <c r="A4" t="str">
        <f>'[2]Country populations'!A5</f>
        <v>Albania</v>
      </c>
      <c r="B4" s="40">
        <f>IF([2]Setup!$B$19=[2]Setup!$T$19,'[2]Country populations'!B5,'[2]Country populations'!M5)</f>
        <v>952</v>
      </c>
      <c r="C4" s="40">
        <f>IF([2]Setup!$B$19=[2]Setup!$T$19,'[2]Country populations'!C5,'[2]Country populations'!N5)</f>
        <v>1071</v>
      </c>
      <c r="D4" s="40">
        <f>IF([2]Setup!$B$19=[2]Setup!$T$19,'[2]Country populations'!D5,'[2]Country populations'!O5)</f>
        <v>1184</v>
      </c>
      <c r="E4" s="40">
        <f>IF([2]Setup!$B$19=[2]Setup!$T$19,'[2]Country populations'!E5,'[2]Country populations'!P5)</f>
        <v>1290</v>
      </c>
      <c r="F4" s="40">
        <f>IF([2]Setup!$B$19=[2]Setup!$T$19,'[2]Country populations'!F5,'[2]Country populations'!Q5)</f>
        <v>1393</v>
      </c>
      <c r="G4" s="40">
        <f>IF([2]Setup!$B$19=[2]Setup!$T$19,'[2]Country populations'!G5,'[2]Country populations'!R5)</f>
        <v>1492</v>
      </c>
      <c r="H4" s="40">
        <f>IF([2]Setup!$B$19=[2]Setup!$T$19,'[2]Country populations'!H5,'[2]Country populations'!S5)</f>
        <v>1579</v>
      </c>
      <c r="I4" s="40">
        <f>IF([2]Setup!$B$19=[2]Setup!$T$19,'[2]Country populations'!I5,'[2]Country populations'!T5)</f>
        <v>1656</v>
      </c>
      <c r="J4" s="40">
        <f>IF([2]Setup!$B$19=[2]Setup!$T$19,'[2]Country populations'!J5,'[2]Country populations'!U5)</f>
        <v>1722</v>
      </c>
      <c r="K4" s="40">
        <f>IF([2]Setup!$B$19=[2]Setup!$T$19,'[2]Country populations'!K5,'[2]Country populations'!V5)</f>
        <v>1779</v>
      </c>
      <c r="L4" s="40">
        <f>IF([2]Setup!$B$19=[2]Setup!$T$19,'[2]Country populations'!L5,'[2]Country populations'!W5)</f>
        <v>1828</v>
      </c>
      <c r="M4" s="40" t="str">
        <f t="shared" ref="M4:M67" si="2">A4</f>
        <v>Albania</v>
      </c>
      <c r="N4" s="40">
        <f>IF([2]Setup!$B$20=[2]Setup!$U$19,'[2]Country populations'!X5,'[2]Country populations'!AI5)</f>
        <v>24</v>
      </c>
      <c r="O4" s="40">
        <f>IF([2]Setup!$B$20=[2]Setup!$U$19,'[2]Country populations'!Y5,'[2]Country populations'!AJ5)</f>
        <v>26</v>
      </c>
      <c r="P4" s="40">
        <f>IF([2]Setup!$B$20=[2]Setup!$U$19,'[2]Country populations'!Z5,'[2]Country populations'!AK5)</f>
        <v>29</v>
      </c>
      <c r="Q4" s="40">
        <f>IF([2]Setup!$B$20=[2]Setup!$U$19,'[2]Country populations'!AA5,'[2]Country populations'!AL5)</f>
        <v>32</v>
      </c>
      <c r="R4" s="40">
        <f>IF([2]Setup!$B$20=[2]Setup!$U$19,'[2]Country populations'!AB5,'[2]Country populations'!AM5)</f>
        <v>35</v>
      </c>
      <c r="S4" s="40">
        <f>IF([2]Setup!$B$20=[2]Setup!$U$19,'[2]Country populations'!AC5,'[2]Country populations'!AN5)</f>
        <v>39</v>
      </c>
      <c r="T4" s="40">
        <f>IF([2]Setup!$B$20=[2]Setup!$U$19,'[2]Country populations'!AD5,'[2]Country populations'!AO5)</f>
        <v>42</v>
      </c>
      <c r="U4" s="40">
        <f>IF([2]Setup!$B$20=[2]Setup!$U$19,'[2]Country populations'!AE5,'[2]Country populations'!AP5)</f>
        <v>45</v>
      </c>
      <c r="V4" s="40">
        <f>IF([2]Setup!$B$20=[2]Setup!$U$19,'[2]Country populations'!AF5,'[2]Country populations'!AQ5)</f>
        <v>48</v>
      </c>
      <c r="W4" s="40">
        <f>IF([2]Setup!$B$20=[2]Setup!$U$19,'[2]Country populations'!AG5,'[2]Country populations'!AR5)</f>
        <v>51</v>
      </c>
      <c r="X4" s="40">
        <f>IF([2]Setup!$B$20=[2]Setup!$U$19,'[2]Country populations'!AH5,'[2]Country populations'!AS5)</f>
        <v>53</v>
      </c>
      <c r="Y4" s="40" t="str">
        <f t="shared" ref="Y4:Y67" si="3">M4</f>
        <v>Albania</v>
      </c>
      <c r="Z4" s="40">
        <f>IF([2]Setup!$B$21=[2]Setup!$V$19,'[2]Country populations'!AT5,'[2]Country populations'!BE5)</f>
        <v>11</v>
      </c>
      <c r="AA4" s="40">
        <f>IF([2]Setup!$B$21=[2]Setup!$V$19,'[2]Country populations'!AU5,'[2]Country populations'!BF5)</f>
        <v>12</v>
      </c>
      <c r="AB4" s="40">
        <f>IF([2]Setup!$B$21=[2]Setup!$V$19,'[2]Country populations'!AV5,'[2]Country populations'!BG5)</f>
        <v>13</v>
      </c>
      <c r="AC4" s="40">
        <f>IF([2]Setup!$B$21=[2]Setup!$V$19,'[2]Country populations'!AW5,'[2]Country populations'!BH5)</f>
        <v>15</v>
      </c>
      <c r="AD4" s="40">
        <f>IF([2]Setup!$B$21=[2]Setup!$V$19,'[2]Country populations'!AX5,'[2]Country populations'!BI5)</f>
        <v>16</v>
      </c>
      <c r="AE4" s="40">
        <f>IF([2]Setup!$B$21=[2]Setup!$V$19,'[2]Country populations'!AY5,'[2]Country populations'!BJ5)</f>
        <v>17</v>
      </c>
      <c r="AF4" s="40">
        <f>IF([2]Setup!$B$21=[2]Setup!$V$19,'[2]Country populations'!AZ5,'[2]Country populations'!BK5)</f>
        <v>18</v>
      </c>
      <c r="AG4" s="40">
        <f>IF([2]Setup!$B$21=[2]Setup!$V$19,'[2]Country populations'!BA5,'[2]Country populations'!BL5)</f>
        <v>19</v>
      </c>
      <c r="AH4" s="40">
        <f>IF([2]Setup!$B$21=[2]Setup!$V$19,'[2]Country populations'!BB5,'[2]Country populations'!BM5)</f>
        <v>19</v>
      </c>
      <c r="AI4" s="40">
        <f>IF([2]Setup!$B$21=[2]Setup!$V$19,'[2]Country populations'!BC5,'[2]Country populations'!BN5)</f>
        <v>20</v>
      </c>
      <c r="AJ4" s="40">
        <f>IF([2]Setup!$B$21=[2]Setup!$V$19,'[2]Country populations'!BD5,'[2]Country populations'!BO5)</f>
        <v>21</v>
      </c>
    </row>
    <row r="5" spans="1:36" x14ac:dyDescent="0.25">
      <c r="A5" t="str">
        <f>'[2]Country populations'!A6</f>
        <v>Algeria</v>
      </c>
      <c r="B5" s="40">
        <f>IF([2]Setup!$B$19=[2]Setup!$T$19,'[2]Country populations'!B6,'[2]Country populations'!M6)</f>
        <v>27538</v>
      </c>
      <c r="C5" s="40">
        <f>IF([2]Setup!$B$19=[2]Setup!$T$19,'[2]Country populations'!C6,'[2]Country populations'!N6)</f>
        <v>28254</v>
      </c>
      <c r="D5" s="40">
        <f>IF([2]Setup!$B$19=[2]Setup!$T$19,'[2]Country populations'!D6,'[2]Country populations'!O6)</f>
        <v>29021</v>
      </c>
      <c r="E5" s="40">
        <f>IF([2]Setup!$B$19=[2]Setup!$T$19,'[2]Country populations'!E6,'[2]Country populations'!P6)</f>
        <v>29833</v>
      </c>
      <c r="F5" s="40">
        <f>IF([2]Setup!$B$19=[2]Setup!$T$19,'[2]Country populations'!F6,'[2]Country populations'!Q6)</f>
        <v>30700</v>
      </c>
      <c r="G5" s="40">
        <f>IF([2]Setup!$B$19=[2]Setup!$T$19,'[2]Country populations'!G6,'[2]Country populations'!R6)</f>
        <v>31591</v>
      </c>
      <c r="H5" s="40">
        <f>IF([2]Setup!$B$19=[2]Setup!$T$19,'[2]Country populations'!H6,'[2]Country populations'!S6)</f>
        <v>32537</v>
      </c>
      <c r="I5" s="40">
        <f>IF([2]Setup!$B$19=[2]Setup!$T$19,'[2]Country populations'!I6,'[2]Country populations'!T6)</f>
        <v>33450</v>
      </c>
      <c r="J5" s="40">
        <f>IF([2]Setup!$B$19=[2]Setup!$T$19,'[2]Country populations'!J6,'[2]Country populations'!U6)</f>
        <v>34320</v>
      </c>
      <c r="K5" s="40">
        <f>IF([2]Setup!$B$19=[2]Setup!$T$19,'[2]Country populations'!K6,'[2]Country populations'!V6)</f>
        <v>35149</v>
      </c>
      <c r="L5" s="40">
        <f>IF([2]Setup!$B$19=[2]Setup!$T$19,'[2]Country populations'!L6,'[2]Country populations'!W6)</f>
        <v>35938</v>
      </c>
      <c r="M5" s="40" t="str">
        <f t="shared" si="2"/>
        <v>Algeria</v>
      </c>
      <c r="N5" s="40">
        <f>IF([2]Setup!$B$20=[2]Setup!$U$19,'[2]Country populations'!X6,'[2]Country populations'!AI6)</f>
        <v>2042</v>
      </c>
      <c r="O5" s="40">
        <f>IF([2]Setup!$B$20=[2]Setup!$U$19,'[2]Country populations'!Y6,'[2]Country populations'!AJ6)</f>
        <v>2034</v>
      </c>
      <c r="P5" s="40">
        <f>IF([2]Setup!$B$20=[2]Setup!$U$19,'[2]Country populations'!Z6,'[2]Country populations'!AK6)</f>
        <v>2025</v>
      </c>
      <c r="Q5" s="40">
        <f>IF([2]Setup!$B$20=[2]Setup!$U$19,'[2]Country populations'!AA6,'[2]Country populations'!AL6)</f>
        <v>1996</v>
      </c>
      <c r="R5" s="40">
        <f>IF([2]Setup!$B$20=[2]Setup!$U$19,'[2]Country populations'!AB6,'[2]Country populations'!AM6)</f>
        <v>1948</v>
      </c>
      <c r="S5" s="40">
        <f>IF([2]Setup!$B$20=[2]Setup!$U$19,'[2]Country populations'!AC6,'[2]Country populations'!AN6)</f>
        <v>1889</v>
      </c>
      <c r="T5" s="40">
        <f>IF([2]Setup!$B$20=[2]Setup!$U$19,'[2]Country populations'!AD6,'[2]Country populations'!AO6)</f>
        <v>1822</v>
      </c>
      <c r="U5" s="40">
        <f>IF([2]Setup!$B$20=[2]Setup!$U$19,'[2]Country populations'!AE6,'[2]Country populations'!AP6)</f>
        <v>1726</v>
      </c>
      <c r="V5" s="40">
        <f>IF([2]Setup!$B$20=[2]Setup!$U$19,'[2]Country populations'!AF6,'[2]Country populations'!AQ6)</f>
        <v>1605</v>
      </c>
      <c r="W5" s="40">
        <f>IF([2]Setup!$B$20=[2]Setup!$U$19,'[2]Country populations'!AG6,'[2]Country populations'!AR6)</f>
        <v>1464</v>
      </c>
      <c r="X5" s="40">
        <f>IF([2]Setup!$B$20=[2]Setup!$U$19,'[2]Country populations'!AH6,'[2]Country populations'!AS6)</f>
        <v>1313</v>
      </c>
      <c r="Y5" s="40" t="str">
        <f t="shared" si="3"/>
        <v>Algeria</v>
      </c>
      <c r="Z5" s="40">
        <f>IF([2]Setup!$B$21=[2]Setup!$V$19,'[2]Country populations'!AT6,'[2]Country populations'!BE6)</f>
        <v>815</v>
      </c>
      <c r="AA5" s="40">
        <f>IF([2]Setup!$B$21=[2]Setup!$V$19,'[2]Country populations'!AU6,'[2]Country populations'!BF6)</f>
        <v>800</v>
      </c>
      <c r="AB5" s="40">
        <f>IF([2]Setup!$B$21=[2]Setup!$V$19,'[2]Country populations'!AV6,'[2]Country populations'!BG6)</f>
        <v>793</v>
      </c>
      <c r="AC5" s="40">
        <f>IF([2]Setup!$B$21=[2]Setup!$V$19,'[2]Country populations'!AW6,'[2]Country populations'!BH6)</f>
        <v>788</v>
      </c>
      <c r="AD5" s="40">
        <f>IF([2]Setup!$B$21=[2]Setup!$V$19,'[2]Country populations'!AX6,'[2]Country populations'!BI6)</f>
        <v>785</v>
      </c>
      <c r="AE5" s="40">
        <f>IF([2]Setup!$B$21=[2]Setup!$V$19,'[2]Country populations'!AY6,'[2]Country populations'!BJ6)</f>
        <v>781</v>
      </c>
      <c r="AF5" s="40">
        <f>IF([2]Setup!$B$21=[2]Setup!$V$19,'[2]Country populations'!AZ6,'[2]Country populations'!BK6)</f>
        <v>771</v>
      </c>
      <c r="AG5" s="40">
        <f>IF([2]Setup!$B$21=[2]Setup!$V$19,'[2]Country populations'!BA6,'[2]Country populations'!BL6)</f>
        <v>751</v>
      </c>
      <c r="AH5" s="40">
        <f>IF([2]Setup!$B$21=[2]Setup!$V$19,'[2]Country populations'!BB6,'[2]Country populations'!BM6)</f>
        <v>728</v>
      </c>
      <c r="AI5" s="40">
        <f>IF([2]Setup!$B$21=[2]Setup!$V$19,'[2]Country populations'!BC6,'[2]Country populations'!BN6)</f>
        <v>702</v>
      </c>
      <c r="AJ5" s="40">
        <f>IF([2]Setup!$B$21=[2]Setup!$V$19,'[2]Country populations'!BD6,'[2]Country populations'!BO6)</f>
        <v>676</v>
      </c>
    </row>
    <row r="6" spans="1:36" x14ac:dyDescent="0.25">
      <c r="A6" t="str">
        <f>'[2]Country populations'!A7</f>
        <v>Angola</v>
      </c>
      <c r="B6" s="40">
        <f>IF([2]Setup!$B$19=[2]Setup!$T$19,'[2]Country populations'!B7,'[2]Country populations'!M7)</f>
        <v>317475</v>
      </c>
      <c r="C6" s="40">
        <f>IF([2]Setup!$B$19=[2]Setup!$T$19,'[2]Country populations'!C7,'[2]Country populations'!N7)</f>
        <v>339796</v>
      </c>
      <c r="D6" s="40">
        <f>IF([2]Setup!$B$19=[2]Setup!$T$19,'[2]Country populations'!D7,'[2]Country populations'!O7)</f>
        <v>361691</v>
      </c>
      <c r="E6" s="40">
        <f>IF([2]Setup!$B$19=[2]Setup!$T$19,'[2]Country populations'!E7,'[2]Country populations'!P7)</f>
        <v>383813</v>
      </c>
      <c r="F6" s="40">
        <f>IF([2]Setup!$B$19=[2]Setup!$T$19,'[2]Country populations'!F7,'[2]Country populations'!Q7)</f>
        <v>406354</v>
      </c>
      <c r="G6" s="40">
        <f>IF([2]Setup!$B$19=[2]Setup!$T$19,'[2]Country populations'!G7,'[2]Country populations'!R7)</f>
        <v>429133</v>
      </c>
      <c r="H6" s="40">
        <f>IF([2]Setup!$B$19=[2]Setup!$T$19,'[2]Country populations'!H7,'[2]Country populations'!S7)</f>
        <v>452632</v>
      </c>
      <c r="I6" s="40">
        <f>IF([2]Setup!$B$19=[2]Setup!$T$19,'[2]Country populations'!I7,'[2]Country populations'!T7)</f>
        <v>476879</v>
      </c>
      <c r="J6" s="40">
        <f>IF([2]Setup!$B$19=[2]Setup!$T$19,'[2]Country populations'!J7,'[2]Country populations'!U7)</f>
        <v>501916</v>
      </c>
      <c r="K6" s="40">
        <f>IF([2]Setup!$B$19=[2]Setup!$T$19,'[2]Country populations'!K7,'[2]Country populations'!V7)</f>
        <v>527975</v>
      </c>
      <c r="L6" s="40">
        <f>IF([2]Setup!$B$19=[2]Setup!$T$19,'[2]Country populations'!L7,'[2]Country populations'!W7)</f>
        <v>555140</v>
      </c>
      <c r="M6" s="40" t="str">
        <f t="shared" si="2"/>
        <v>Angola</v>
      </c>
      <c r="N6" s="40">
        <f>IF([2]Setup!$B$20=[2]Setup!$U$19,'[2]Country populations'!X7,'[2]Country populations'!AI7)</f>
        <v>45371</v>
      </c>
      <c r="O6" s="40">
        <f>IF([2]Setup!$B$20=[2]Setup!$U$19,'[2]Country populations'!Y7,'[2]Country populations'!AJ7)</f>
        <v>49017</v>
      </c>
      <c r="P6" s="40">
        <f>IF([2]Setup!$B$20=[2]Setup!$U$19,'[2]Country populations'!Z7,'[2]Country populations'!AK7)</f>
        <v>52501</v>
      </c>
      <c r="Q6" s="40">
        <f>IF([2]Setup!$B$20=[2]Setup!$U$19,'[2]Country populations'!AA7,'[2]Country populations'!AL7)</f>
        <v>56893</v>
      </c>
      <c r="R6" s="40">
        <f>IF([2]Setup!$B$20=[2]Setup!$U$19,'[2]Country populations'!AB7,'[2]Country populations'!AM7)</f>
        <v>61111</v>
      </c>
      <c r="S6" s="40">
        <f>IF([2]Setup!$B$20=[2]Setup!$U$19,'[2]Country populations'!AC7,'[2]Country populations'!AN7)</f>
        <v>65522</v>
      </c>
      <c r="T6" s="40">
        <f>IF([2]Setup!$B$20=[2]Setup!$U$19,'[2]Country populations'!AD7,'[2]Country populations'!AO7)</f>
        <v>70076</v>
      </c>
      <c r="U6" s="40">
        <f>IF([2]Setup!$B$20=[2]Setup!$U$19,'[2]Country populations'!AE7,'[2]Country populations'!AP7)</f>
        <v>74792</v>
      </c>
      <c r="V6" s="40">
        <f>IF([2]Setup!$B$20=[2]Setup!$U$19,'[2]Country populations'!AF7,'[2]Country populations'!AQ7)</f>
        <v>79681</v>
      </c>
      <c r="W6" s="40">
        <f>IF([2]Setup!$B$20=[2]Setup!$U$19,'[2]Country populations'!AG7,'[2]Country populations'!AR7)</f>
        <v>84521</v>
      </c>
      <c r="X6" s="40">
        <f>IF([2]Setup!$B$20=[2]Setup!$U$19,'[2]Country populations'!AH7,'[2]Country populations'!AS7)</f>
        <v>89245</v>
      </c>
      <c r="Y6" s="40" t="str">
        <f t="shared" si="3"/>
        <v>Angola</v>
      </c>
      <c r="Z6" s="40">
        <f>IF([2]Setup!$B$21=[2]Setup!$V$19,'[2]Country populations'!AT7,'[2]Country populations'!BE7)</f>
        <v>23556</v>
      </c>
      <c r="AA6" s="40">
        <f>IF([2]Setup!$B$21=[2]Setup!$V$19,'[2]Country populations'!AU7,'[2]Country populations'!BF7)</f>
        <v>24638</v>
      </c>
      <c r="AB6" s="40">
        <f>IF([2]Setup!$B$21=[2]Setup!$V$19,'[2]Country populations'!AV7,'[2]Country populations'!BG7)</f>
        <v>25620</v>
      </c>
      <c r="AC6" s="40">
        <f>IF([2]Setup!$B$21=[2]Setup!$V$19,'[2]Country populations'!AW7,'[2]Country populations'!BH7)</f>
        <v>26308</v>
      </c>
      <c r="AD6" s="40">
        <f>IF([2]Setup!$B$21=[2]Setup!$V$19,'[2]Country populations'!AX7,'[2]Country populations'!BI7)</f>
        <v>26909</v>
      </c>
      <c r="AE6" s="40">
        <f>IF([2]Setup!$B$21=[2]Setup!$V$19,'[2]Country populations'!AY7,'[2]Country populations'!BJ7)</f>
        <v>27431</v>
      </c>
      <c r="AF6" s="40">
        <f>IF([2]Setup!$B$21=[2]Setup!$V$19,'[2]Country populations'!AZ7,'[2]Country populations'!BK7)</f>
        <v>27894</v>
      </c>
      <c r="AG6" s="40">
        <f>IF([2]Setup!$B$21=[2]Setup!$V$19,'[2]Country populations'!BA7,'[2]Country populations'!BL7)</f>
        <v>28325</v>
      </c>
      <c r="AH6" s="40">
        <f>IF([2]Setup!$B$21=[2]Setup!$V$19,'[2]Country populations'!BB7,'[2]Country populations'!BM7)</f>
        <v>28733</v>
      </c>
      <c r="AI6" s="40">
        <f>IF([2]Setup!$B$21=[2]Setup!$V$19,'[2]Country populations'!BC7,'[2]Country populations'!BN7)</f>
        <v>29133</v>
      </c>
      <c r="AJ6" s="40">
        <f>IF([2]Setup!$B$21=[2]Setup!$V$19,'[2]Country populations'!BD7,'[2]Country populations'!BO7)</f>
        <v>29538</v>
      </c>
    </row>
    <row r="7" spans="1:36" x14ac:dyDescent="0.25">
      <c r="A7" t="str">
        <f>'[2]Country populations'!A8</f>
        <v>Antigua and Barbuda</v>
      </c>
      <c r="B7" s="40">
        <f>IF([2]Setup!$B$19=[2]Setup!$T$19,'[2]Country populations'!B8,'[2]Country populations'!M8)</f>
        <v>0</v>
      </c>
      <c r="C7" s="40">
        <f>IF([2]Setup!$B$19=[2]Setup!$T$19,'[2]Country populations'!C8,'[2]Country populations'!N8)</f>
        <v>0</v>
      </c>
      <c r="D7" s="40">
        <f>IF([2]Setup!$B$19=[2]Setup!$T$19,'[2]Country populations'!D8,'[2]Country populations'!O8)</f>
        <v>0</v>
      </c>
      <c r="E7" s="40">
        <f>IF([2]Setup!$B$19=[2]Setup!$T$19,'[2]Country populations'!E8,'[2]Country populations'!P8)</f>
        <v>0</v>
      </c>
      <c r="F7" s="40">
        <f>IF([2]Setup!$B$19=[2]Setup!$T$19,'[2]Country populations'!F8,'[2]Country populations'!Q8)</f>
        <v>0</v>
      </c>
      <c r="G7" s="40">
        <f>IF([2]Setup!$B$19=[2]Setup!$T$19,'[2]Country populations'!G8,'[2]Country populations'!R8)</f>
        <v>0</v>
      </c>
      <c r="H7" s="40">
        <f>IF([2]Setup!$B$19=[2]Setup!$T$19,'[2]Country populations'!H8,'[2]Country populations'!S8)</f>
        <v>0</v>
      </c>
      <c r="I7" s="40">
        <f>IF([2]Setup!$B$19=[2]Setup!$T$19,'[2]Country populations'!I8,'[2]Country populations'!T8)</f>
        <v>0</v>
      </c>
      <c r="J7" s="40">
        <f>IF([2]Setup!$B$19=[2]Setup!$T$19,'[2]Country populations'!J8,'[2]Country populations'!U8)</f>
        <v>0</v>
      </c>
      <c r="K7" s="40">
        <f>IF([2]Setup!$B$19=[2]Setup!$T$19,'[2]Country populations'!K8,'[2]Country populations'!V8)</f>
        <v>0</v>
      </c>
      <c r="L7" s="40">
        <f>IF([2]Setup!$B$19=[2]Setup!$T$19,'[2]Country populations'!L8,'[2]Country populations'!W8)</f>
        <v>0</v>
      </c>
      <c r="M7" s="40" t="str">
        <f t="shared" si="2"/>
        <v>Antigua and Barbuda</v>
      </c>
      <c r="N7" s="40">
        <f>IF([2]Setup!$B$20=[2]Setup!$U$19,'[2]Country populations'!X8,'[2]Country populations'!AI8)</f>
        <v>0</v>
      </c>
      <c r="O7" s="40">
        <f>IF([2]Setup!$B$20=[2]Setup!$U$19,'[2]Country populations'!Y8,'[2]Country populations'!AJ8)</f>
        <v>0</v>
      </c>
      <c r="P7" s="40">
        <f>IF([2]Setup!$B$20=[2]Setup!$U$19,'[2]Country populations'!Z8,'[2]Country populations'!AK8)</f>
        <v>0</v>
      </c>
      <c r="Q7" s="40">
        <f>IF([2]Setup!$B$20=[2]Setup!$U$19,'[2]Country populations'!AA8,'[2]Country populations'!AL8)</f>
        <v>0</v>
      </c>
      <c r="R7" s="40">
        <f>IF([2]Setup!$B$20=[2]Setup!$U$19,'[2]Country populations'!AB8,'[2]Country populations'!AM8)</f>
        <v>0</v>
      </c>
      <c r="S7" s="40">
        <f>IF([2]Setup!$B$20=[2]Setup!$U$19,'[2]Country populations'!AC8,'[2]Country populations'!AN8)</f>
        <v>0</v>
      </c>
      <c r="T7" s="40">
        <f>IF([2]Setup!$B$20=[2]Setup!$U$19,'[2]Country populations'!AD8,'[2]Country populations'!AO8)</f>
        <v>0</v>
      </c>
      <c r="U7" s="40">
        <f>IF([2]Setup!$B$20=[2]Setup!$U$19,'[2]Country populations'!AE8,'[2]Country populations'!AP8)</f>
        <v>0</v>
      </c>
      <c r="V7" s="40">
        <f>IF([2]Setup!$B$20=[2]Setup!$U$19,'[2]Country populations'!AF8,'[2]Country populations'!AQ8)</f>
        <v>0</v>
      </c>
      <c r="W7" s="40">
        <f>IF([2]Setup!$B$20=[2]Setup!$U$19,'[2]Country populations'!AG8,'[2]Country populations'!AR8)</f>
        <v>0</v>
      </c>
      <c r="X7" s="40">
        <f>IF([2]Setup!$B$20=[2]Setup!$U$19,'[2]Country populations'!AH8,'[2]Country populations'!AS8)</f>
        <v>0</v>
      </c>
      <c r="Y7" s="40" t="str">
        <f t="shared" si="3"/>
        <v>Antigua and Barbuda</v>
      </c>
      <c r="Z7" s="40">
        <f>IF([2]Setup!$B$21=[2]Setup!$V$19,'[2]Country populations'!AT8,'[2]Country populations'!BE8)</f>
        <v>0</v>
      </c>
      <c r="AA7" s="40">
        <f>IF([2]Setup!$B$21=[2]Setup!$V$19,'[2]Country populations'!AU8,'[2]Country populations'!BF8)</f>
        <v>0</v>
      </c>
      <c r="AB7" s="40">
        <f>IF([2]Setup!$B$21=[2]Setup!$V$19,'[2]Country populations'!AV8,'[2]Country populations'!BG8)</f>
        <v>0</v>
      </c>
      <c r="AC7" s="40">
        <f>IF([2]Setup!$B$21=[2]Setup!$V$19,'[2]Country populations'!AW8,'[2]Country populations'!BH8)</f>
        <v>0</v>
      </c>
      <c r="AD7" s="40">
        <f>IF([2]Setup!$B$21=[2]Setup!$V$19,'[2]Country populations'!AX8,'[2]Country populations'!BI8)</f>
        <v>0</v>
      </c>
      <c r="AE7" s="40">
        <f>IF([2]Setup!$B$21=[2]Setup!$V$19,'[2]Country populations'!AY8,'[2]Country populations'!BJ8)</f>
        <v>0</v>
      </c>
      <c r="AF7" s="40">
        <f>IF([2]Setup!$B$21=[2]Setup!$V$19,'[2]Country populations'!AZ8,'[2]Country populations'!BK8)</f>
        <v>0</v>
      </c>
      <c r="AG7" s="40">
        <f>IF([2]Setup!$B$21=[2]Setup!$V$19,'[2]Country populations'!BA8,'[2]Country populations'!BL8)</f>
        <v>0</v>
      </c>
      <c r="AH7" s="40">
        <f>IF([2]Setup!$B$21=[2]Setup!$V$19,'[2]Country populations'!BB8,'[2]Country populations'!BM8)</f>
        <v>0</v>
      </c>
      <c r="AI7" s="40">
        <f>IF([2]Setup!$B$21=[2]Setup!$V$19,'[2]Country populations'!BC8,'[2]Country populations'!BN8)</f>
        <v>0</v>
      </c>
      <c r="AJ7" s="40">
        <f>IF([2]Setup!$B$21=[2]Setup!$V$19,'[2]Country populations'!BD8,'[2]Country populations'!BO8)</f>
        <v>0</v>
      </c>
    </row>
    <row r="8" spans="1:36" x14ac:dyDescent="0.25">
      <c r="A8" t="str">
        <f>'[2]Country populations'!A9</f>
        <v>Argentina</v>
      </c>
      <c r="B8" s="40">
        <f>IF([2]Setup!$B$19=[2]Setup!$T$19,'[2]Country populations'!B9,'[2]Country populations'!M9)</f>
        <v>159527</v>
      </c>
      <c r="C8" s="40">
        <f>IF([2]Setup!$B$19=[2]Setup!$T$19,'[2]Country populations'!C9,'[2]Country populations'!N9)</f>
        <v>156151</v>
      </c>
      <c r="D8" s="40">
        <f>IF([2]Setup!$B$19=[2]Setup!$T$19,'[2]Country populations'!D9,'[2]Country populations'!O9)</f>
        <v>152462</v>
      </c>
      <c r="E8" s="40">
        <f>IF([2]Setup!$B$19=[2]Setup!$T$19,'[2]Country populations'!E9,'[2]Country populations'!P9)</f>
        <v>148608</v>
      </c>
      <c r="F8" s="40">
        <f>IF([2]Setup!$B$19=[2]Setup!$T$19,'[2]Country populations'!F9,'[2]Country populations'!Q9)</f>
        <v>144960</v>
      </c>
      <c r="G8" s="40">
        <f>IF([2]Setup!$B$19=[2]Setup!$T$19,'[2]Country populations'!G9,'[2]Country populations'!R9)</f>
        <v>141538</v>
      </c>
      <c r="H8" s="40">
        <f>IF([2]Setup!$B$19=[2]Setup!$T$19,'[2]Country populations'!H9,'[2]Country populations'!S9)</f>
        <v>138332</v>
      </c>
      <c r="I8" s="40">
        <f>IF([2]Setup!$B$19=[2]Setup!$T$19,'[2]Country populations'!I9,'[2]Country populations'!T9)</f>
        <v>135248</v>
      </c>
      <c r="J8" s="40">
        <f>IF([2]Setup!$B$19=[2]Setup!$T$19,'[2]Country populations'!J9,'[2]Country populations'!U9)</f>
        <v>132328</v>
      </c>
      <c r="K8" s="40">
        <f>IF([2]Setup!$B$19=[2]Setup!$T$19,'[2]Country populations'!K9,'[2]Country populations'!V9)</f>
        <v>129669</v>
      </c>
      <c r="L8" s="40">
        <f>IF([2]Setup!$B$19=[2]Setup!$T$19,'[2]Country populations'!L9,'[2]Country populations'!W9)</f>
        <v>127269</v>
      </c>
      <c r="M8" s="40" t="str">
        <f t="shared" si="2"/>
        <v>Argentina</v>
      </c>
      <c r="N8" s="40">
        <f>IF([2]Setup!$B$20=[2]Setup!$U$19,'[2]Country populations'!X9,'[2]Country populations'!AI9)</f>
        <v>6417</v>
      </c>
      <c r="O8" s="40">
        <f>IF([2]Setup!$B$20=[2]Setup!$U$19,'[2]Country populations'!Y9,'[2]Country populations'!AJ9)</f>
        <v>6033</v>
      </c>
      <c r="P8" s="40">
        <f>IF([2]Setup!$B$20=[2]Setup!$U$19,'[2]Country populations'!Z9,'[2]Country populations'!AK9)</f>
        <v>5548</v>
      </c>
      <c r="Q8" s="40">
        <f>IF([2]Setup!$B$20=[2]Setup!$U$19,'[2]Country populations'!AA9,'[2]Country populations'!AL9)</f>
        <v>5038</v>
      </c>
      <c r="R8" s="40">
        <f>IF([2]Setup!$B$20=[2]Setup!$U$19,'[2]Country populations'!AB9,'[2]Country populations'!AM9)</f>
        <v>4539</v>
      </c>
      <c r="S8" s="40">
        <f>IF([2]Setup!$B$20=[2]Setup!$U$19,'[2]Country populations'!AC9,'[2]Country populations'!AN9)</f>
        <v>4087</v>
      </c>
      <c r="T8" s="40">
        <f>IF([2]Setup!$B$20=[2]Setup!$U$19,'[2]Country populations'!AD9,'[2]Country populations'!AO9)</f>
        <v>3736</v>
      </c>
      <c r="U8" s="40">
        <f>IF([2]Setup!$B$20=[2]Setup!$U$19,'[2]Country populations'!AE9,'[2]Country populations'!AP9)</f>
        <v>3469</v>
      </c>
      <c r="V8" s="40">
        <f>IF([2]Setup!$B$20=[2]Setup!$U$19,'[2]Country populations'!AF9,'[2]Country populations'!AQ9)</f>
        <v>3287</v>
      </c>
      <c r="W8" s="40">
        <f>IF([2]Setup!$B$20=[2]Setup!$U$19,'[2]Country populations'!AG9,'[2]Country populations'!AR9)</f>
        <v>3106</v>
      </c>
      <c r="X8" s="40">
        <f>IF([2]Setup!$B$20=[2]Setup!$U$19,'[2]Country populations'!AH9,'[2]Country populations'!AS9)</f>
        <v>2929</v>
      </c>
      <c r="Y8" s="40" t="str">
        <f t="shared" si="3"/>
        <v>Argentina</v>
      </c>
      <c r="Z8" s="40">
        <f>IF([2]Setup!$B$21=[2]Setup!$V$19,'[2]Country populations'!AT9,'[2]Country populations'!BE9)</f>
        <v>2085</v>
      </c>
      <c r="AA8" s="40">
        <f>IF([2]Setup!$B$21=[2]Setup!$V$19,'[2]Country populations'!AU9,'[2]Country populations'!BF9)</f>
        <v>1978</v>
      </c>
      <c r="AB8" s="40">
        <f>IF([2]Setup!$B$21=[2]Setup!$V$19,'[2]Country populations'!AV9,'[2]Country populations'!BG9)</f>
        <v>1874</v>
      </c>
      <c r="AC8" s="40">
        <f>IF([2]Setup!$B$21=[2]Setup!$V$19,'[2]Country populations'!AW9,'[2]Country populations'!BH9)</f>
        <v>1778</v>
      </c>
      <c r="AD8" s="40">
        <f>IF([2]Setup!$B$21=[2]Setup!$V$19,'[2]Country populations'!AX9,'[2]Country populations'!BI9)</f>
        <v>1689</v>
      </c>
      <c r="AE8" s="40">
        <f>IF([2]Setup!$B$21=[2]Setup!$V$19,'[2]Country populations'!AY9,'[2]Country populations'!BJ9)</f>
        <v>1609</v>
      </c>
      <c r="AF8" s="40">
        <f>IF([2]Setup!$B$21=[2]Setup!$V$19,'[2]Country populations'!AZ9,'[2]Country populations'!BK9)</f>
        <v>1539</v>
      </c>
      <c r="AG8" s="40">
        <f>IF([2]Setup!$B$21=[2]Setup!$V$19,'[2]Country populations'!BA9,'[2]Country populations'!BL9)</f>
        <v>1478</v>
      </c>
      <c r="AH8" s="40">
        <f>IF([2]Setup!$B$21=[2]Setup!$V$19,'[2]Country populations'!BB9,'[2]Country populations'!BM9)</f>
        <v>1428</v>
      </c>
      <c r="AI8" s="40">
        <f>IF([2]Setup!$B$21=[2]Setup!$V$19,'[2]Country populations'!BC9,'[2]Country populations'!BN9)</f>
        <v>1386</v>
      </c>
      <c r="AJ8" s="40">
        <f>IF([2]Setup!$B$21=[2]Setup!$V$19,'[2]Country populations'!BD9,'[2]Country populations'!BO9)</f>
        <v>1352</v>
      </c>
    </row>
    <row r="9" spans="1:36" x14ac:dyDescent="0.25">
      <c r="A9" t="str">
        <f>'[2]Country populations'!A10</f>
        <v>Armenia</v>
      </c>
      <c r="B9" s="40">
        <f>IF([2]Setup!$B$19=[2]Setup!$T$19,'[2]Country populations'!B10,'[2]Country populations'!M10)</f>
        <v>4840</v>
      </c>
      <c r="C9" s="40">
        <f>IF([2]Setup!$B$19=[2]Setup!$T$19,'[2]Country populations'!C10,'[2]Country populations'!N10)</f>
        <v>5330</v>
      </c>
      <c r="D9" s="40">
        <f>IF([2]Setup!$B$19=[2]Setup!$T$19,'[2]Country populations'!D10,'[2]Country populations'!O10)</f>
        <v>5920</v>
      </c>
      <c r="E9" s="40">
        <f>IF([2]Setup!$B$19=[2]Setup!$T$19,'[2]Country populations'!E10,'[2]Country populations'!P10)</f>
        <v>6595</v>
      </c>
      <c r="F9" s="40">
        <f>IF([2]Setup!$B$19=[2]Setup!$T$19,'[2]Country populations'!F10,'[2]Country populations'!Q10)</f>
        <v>7369</v>
      </c>
      <c r="G9" s="40">
        <f>IF([2]Setup!$B$19=[2]Setup!$T$19,'[2]Country populations'!G10,'[2]Country populations'!R10)</f>
        <v>8266</v>
      </c>
      <c r="H9" s="40">
        <f>IF([2]Setup!$B$19=[2]Setup!$T$19,'[2]Country populations'!H10,'[2]Country populations'!S10)</f>
        <v>9130</v>
      </c>
      <c r="I9" s="40">
        <f>IF([2]Setup!$B$19=[2]Setup!$T$19,'[2]Country populations'!I10,'[2]Country populations'!T10)</f>
        <v>9957</v>
      </c>
      <c r="J9" s="40">
        <f>IF([2]Setup!$B$19=[2]Setup!$T$19,'[2]Country populations'!J10,'[2]Country populations'!U10)</f>
        <v>10743</v>
      </c>
      <c r="K9" s="40">
        <f>IF([2]Setup!$B$19=[2]Setup!$T$19,'[2]Country populations'!K10,'[2]Country populations'!V10)</f>
        <v>11487</v>
      </c>
      <c r="L9" s="40">
        <f>IF([2]Setup!$B$19=[2]Setup!$T$19,'[2]Country populations'!L10,'[2]Country populations'!W10)</f>
        <v>12185</v>
      </c>
      <c r="M9" s="40" t="str">
        <f t="shared" si="2"/>
        <v>Armenia</v>
      </c>
      <c r="N9" s="40">
        <f>IF([2]Setup!$B$20=[2]Setup!$U$19,'[2]Country populations'!X10,'[2]Country populations'!AI10)</f>
        <v>34</v>
      </c>
      <c r="O9" s="40">
        <f>IF([2]Setup!$B$20=[2]Setup!$U$19,'[2]Country populations'!Y10,'[2]Country populations'!AJ10)</f>
        <v>43</v>
      </c>
      <c r="P9" s="40">
        <f>IF([2]Setup!$B$20=[2]Setup!$U$19,'[2]Country populations'!Z10,'[2]Country populations'!AK10)</f>
        <v>49</v>
      </c>
      <c r="Q9" s="40">
        <f>IF([2]Setup!$B$20=[2]Setup!$U$19,'[2]Country populations'!AA10,'[2]Country populations'!AL10)</f>
        <v>55</v>
      </c>
      <c r="R9" s="40">
        <f>IF([2]Setup!$B$20=[2]Setup!$U$19,'[2]Country populations'!AB10,'[2]Country populations'!AM10)</f>
        <v>60</v>
      </c>
      <c r="S9" s="40">
        <f>IF([2]Setup!$B$20=[2]Setup!$U$19,'[2]Country populations'!AC10,'[2]Country populations'!AN10)</f>
        <v>67</v>
      </c>
      <c r="T9" s="40">
        <f>IF([2]Setup!$B$20=[2]Setup!$U$19,'[2]Country populations'!AD10,'[2]Country populations'!AO10)</f>
        <v>77</v>
      </c>
      <c r="U9" s="40">
        <f>IF([2]Setup!$B$20=[2]Setup!$U$19,'[2]Country populations'!AE10,'[2]Country populations'!AP10)</f>
        <v>90</v>
      </c>
      <c r="V9" s="40">
        <f>IF([2]Setup!$B$20=[2]Setup!$U$19,'[2]Country populations'!AF10,'[2]Country populations'!AQ10)</f>
        <v>105</v>
      </c>
      <c r="W9" s="40">
        <f>IF([2]Setup!$B$20=[2]Setup!$U$19,'[2]Country populations'!AG10,'[2]Country populations'!AR10)</f>
        <v>124</v>
      </c>
      <c r="X9" s="40">
        <f>IF([2]Setup!$B$20=[2]Setup!$U$19,'[2]Country populations'!AH10,'[2]Country populations'!AS10)</f>
        <v>145</v>
      </c>
      <c r="Y9" s="40" t="str">
        <f t="shared" si="3"/>
        <v>Armenia</v>
      </c>
      <c r="Z9" s="40">
        <f>IF([2]Setup!$B$21=[2]Setup!$V$19,'[2]Country populations'!AT10,'[2]Country populations'!BE10)</f>
        <v>33</v>
      </c>
      <c r="AA9" s="40">
        <f>IF([2]Setup!$B$21=[2]Setup!$V$19,'[2]Country populations'!AU10,'[2]Country populations'!BF10)</f>
        <v>37</v>
      </c>
      <c r="AB9" s="40">
        <f>IF([2]Setup!$B$21=[2]Setup!$V$19,'[2]Country populations'!AV10,'[2]Country populations'!BG10)</f>
        <v>43</v>
      </c>
      <c r="AC9" s="40">
        <f>IF([2]Setup!$B$21=[2]Setup!$V$19,'[2]Country populations'!AW10,'[2]Country populations'!BH10)</f>
        <v>50</v>
      </c>
      <c r="AD9" s="40">
        <f>IF([2]Setup!$B$21=[2]Setup!$V$19,'[2]Country populations'!AX10,'[2]Country populations'!BI10)</f>
        <v>57</v>
      </c>
      <c r="AE9" s="40">
        <f>IF([2]Setup!$B$21=[2]Setup!$V$19,'[2]Country populations'!AY10,'[2]Country populations'!BJ10)</f>
        <v>67</v>
      </c>
      <c r="AF9" s="40">
        <f>IF([2]Setup!$B$21=[2]Setup!$V$19,'[2]Country populations'!AZ10,'[2]Country populations'!BK10)</f>
        <v>77</v>
      </c>
      <c r="AG9" s="40">
        <f>IF([2]Setup!$B$21=[2]Setup!$V$19,'[2]Country populations'!BA10,'[2]Country populations'!BL10)</f>
        <v>86</v>
      </c>
      <c r="AH9" s="40">
        <f>IF([2]Setup!$B$21=[2]Setup!$V$19,'[2]Country populations'!BB10,'[2]Country populations'!BM10)</f>
        <v>94</v>
      </c>
      <c r="AI9" s="40">
        <f>IF([2]Setup!$B$21=[2]Setup!$V$19,'[2]Country populations'!BC10,'[2]Country populations'!BN10)</f>
        <v>101</v>
      </c>
      <c r="AJ9" s="40">
        <f>IF([2]Setup!$B$21=[2]Setup!$V$19,'[2]Country populations'!BD10,'[2]Country populations'!BO10)</f>
        <v>108</v>
      </c>
    </row>
    <row r="10" spans="1:36" x14ac:dyDescent="0.25">
      <c r="A10" t="str">
        <f>'[2]Country populations'!A11</f>
        <v>Aruba</v>
      </c>
      <c r="B10" s="40">
        <f>IF([2]Setup!$B$19=[2]Setup!$T$19,'[2]Country populations'!B11,'[2]Country populations'!M11)</f>
        <v>0</v>
      </c>
      <c r="C10" s="40">
        <f>IF([2]Setup!$B$19=[2]Setup!$T$19,'[2]Country populations'!C11,'[2]Country populations'!N11)</f>
        <v>0</v>
      </c>
      <c r="D10" s="40">
        <f>IF([2]Setup!$B$19=[2]Setup!$T$19,'[2]Country populations'!D11,'[2]Country populations'!O11)</f>
        <v>0</v>
      </c>
      <c r="E10" s="40">
        <f>IF([2]Setup!$B$19=[2]Setup!$T$19,'[2]Country populations'!E11,'[2]Country populations'!P11)</f>
        <v>0</v>
      </c>
      <c r="F10" s="40">
        <f>IF([2]Setup!$B$19=[2]Setup!$T$19,'[2]Country populations'!F11,'[2]Country populations'!Q11)</f>
        <v>0</v>
      </c>
      <c r="G10" s="40">
        <f>IF([2]Setup!$B$19=[2]Setup!$T$19,'[2]Country populations'!G11,'[2]Country populations'!R11)</f>
        <v>0</v>
      </c>
      <c r="H10" s="40">
        <f>IF([2]Setup!$B$19=[2]Setup!$T$19,'[2]Country populations'!H11,'[2]Country populations'!S11)</f>
        <v>0</v>
      </c>
      <c r="I10" s="40">
        <f>IF([2]Setup!$B$19=[2]Setup!$T$19,'[2]Country populations'!I11,'[2]Country populations'!T11)</f>
        <v>0</v>
      </c>
      <c r="J10" s="40">
        <f>IF([2]Setup!$B$19=[2]Setup!$T$19,'[2]Country populations'!J11,'[2]Country populations'!U11)</f>
        <v>0</v>
      </c>
      <c r="K10" s="40">
        <f>IF([2]Setup!$B$19=[2]Setup!$T$19,'[2]Country populations'!K11,'[2]Country populations'!V11)</f>
        <v>0</v>
      </c>
      <c r="L10" s="40">
        <f>IF([2]Setup!$B$19=[2]Setup!$T$19,'[2]Country populations'!L11,'[2]Country populations'!W11)</f>
        <v>0</v>
      </c>
      <c r="M10" s="40" t="str">
        <f t="shared" si="2"/>
        <v>Aruba</v>
      </c>
      <c r="N10" s="40">
        <f>IF([2]Setup!$B$20=[2]Setup!$U$19,'[2]Country populations'!X11,'[2]Country populations'!AI11)</f>
        <v>0</v>
      </c>
      <c r="O10" s="40">
        <f>IF([2]Setup!$B$20=[2]Setup!$U$19,'[2]Country populations'!Y11,'[2]Country populations'!AJ11)</f>
        <v>0</v>
      </c>
      <c r="P10" s="40">
        <f>IF([2]Setup!$B$20=[2]Setup!$U$19,'[2]Country populations'!Z11,'[2]Country populations'!AK11)</f>
        <v>0</v>
      </c>
      <c r="Q10" s="40">
        <f>IF([2]Setup!$B$20=[2]Setup!$U$19,'[2]Country populations'!AA11,'[2]Country populations'!AL11)</f>
        <v>0</v>
      </c>
      <c r="R10" s="40">
        <f>IF([2]Setup!$B$20=[2]Setup!$U$19,'[2]Country populations'!AB11,'[2]Country populations'!AM11)</f>
        <v>0</v>
      </c>
      <c r="S10" s="40">
        <f>IF([2]Setup!$B$20=[2]Setup!$U$19,'[2]Country populations'!AC11,'[2]Country populations'!AN11)</f>
        <v>0</v>
      </c>
      <c r="T10" s="40">
        <f>IF([2]Setup!$B$20=[2]Setup!$U$19,'[2]Country populations'!AD11,'[2]Country populations'!AO11)</f>
        <v>0</v>
      </c>
      <c r="U10" s="40">
        <f>IF([2]Setup!$B$20=[2]Setup!$U$19,'[2]Country populations'!AE11,'[2]Country populations'!AP11)</f>
        <v>0</v>
      </c>
      <c r="V10" s="40">
        <f>IF([2]Setup!$B$20=[2]Setup!$U$19,'[2]Country populations'!AF11,'[2]Country populations'!AQ11)</f>
        <v>0</v>
      </c>
      <c r="W10" s="40">
        <f>IF([2]Setup!$B$20=[2]Setup!$U$19,'[2]Country populations'!AG11,'[2]Country populations'!AR11)</f>
        <v>0</v>
      </c>
      <c r="X10" s="40">
        <f>IF([2]Setup!$B$20=[2]Setup!$U$19,'[2]Country populations'!AH11,'[2]Country populations'!AS11)</f>
        <v>0</v>
      </c>
      <c r="Y10" s="40" t="str">
        <f t="shared" si="3"/>
        <v>Aruba</v>
      </c>
      <c r="Z10" s="40">
        <f>IF([2]Setup!$B$21=[2]Setup!$V$19,'[2]Country populations'!AT11,'[2]Country populations'!BE11)</f>
        <v>0</v>
      </c>
      <c r="AA10" s="40">
        <f>IF([2]Setup!$B$21=[2]Setup!$V$19,'[2]Country populations'!AU11,'[2]Country populations'!BF11)</f>
        <v>0</v>
      </c>
      <c r="AB10" s="40">
        <f>IF([2]Setup!$B$21=[2]Setup!$V$19,'[2]Country populations'!AV11,'[2]Country populations'!BG11)</f>
        <v>0</v>
      </c>
      <c r="AC10" s="40">
        <f>IF([2]Setup!$B$21=[2]Setup!$V$19,'[2]Country populations'!AW11,'[2]Country populations'!BH11)</f>
        <v>0</v>
      </c>
      <c r="AD10" s="40">
        <f>IF([2]Setup!$B$21=[2]Setup!$V$19,'[2]Country populations'!AX11,'[2]Country populations'!BI11)</f>
        <v>0</v>
      </c>
      <c r="AE10" s="40">
        <f>IF([2]Setup!$B$21=[2]Setup!$V$19,'[2]Country populations'!AY11,'[2]Country populations'!BJ11)</f>
        <v>0</v>
      </c>
      <c r="AF10" s="40">
        <f>IF([2]Setup!$B$21=[2]Setup!$V$19,'[2]Country populations'!AZ11,'[2]Country populations'!BK11)</f>
        <v>0</v>
      </c>
      <c r="AG10" s="40">
        <f>IF([2]Setup!$B$21=[2]Setup!$V$19,'[2]Country populations'!BA11,'[2]Country populations'!BL11)</f>
        <v>0</v>
      </c>
      <c r="AH10" s="40">
        <f>IF([2]Setup!$B$21=[2]Setup!$V$19,'[2]Country populations'!BB11,'[2]Country populations'!BM11)</f>
        <v>0</v>
      </c>
      <c r="AI10" s="40">
        <f>IF([2]Setup!$B$21=[2]Setup!$V$19,'[2]Country populations'!BC11,'[2]Country populations'!BN11)</f>
        <v>0</v>
      </c>
      <c r="AJ10" s="40">
        <f>IF([2]Setup!$B$21=[2]Setup!$V$19,'[2]Country populations'!BD11,'[2]Country populations'!BO11)</f>
        <v>0</v>
      </c>
    </row>
    <row r="11" spans="1:36" x14ac:dyDescent="0.25">
      <c r="A11" t="str">
        <f>'[2]Country populations'!A12</f>
        <v>Australia</v>
      </c>
      <c r="B11" s="40">
        <f>IF([2]Setup!$B$19=[2]Setup!$T$19,'[2]Country populations'!B12,'[2]Country populations'!M12)</f>
        <v>28505</v>
      </c>
      <c r="C11" s="40">
        <f>IF([2]Setup!$B$19=[2]Setup!$T$19,'[2]Country populations'!C12,'[2]Country populations'!N12)</f>
        <v>29745</v>
      </c>
      <c r="D11" s="40">
        <f>IF([2]Setup!$B$19=[2]Setup!$T$19,'[2]Country populations'!D12,'[2]Country populations'!O12)</f>
        <v>30980</v>
      </c>
      <c r="E11" s="40">
        <f>IF([2]Setup!$B$19=[2]Setup!$T$19,'[2]Country populations'!E12,'[2]Country populations'!P12)</f>
        <v>32209</v>
      </c>
      <c r="F11" s="40">
        <f>IF([2]Setup!$B$19=[2]Setup!$T$19,'[2]Country populations'!F12,'[2]Country populations'!Q12)</f>
        <v>33431</v>
      </c>
      <c r="G11" s="40">
        <f>IF([2]Setup!$B$19=[2]Setup!$T$19,'[2]Country populations'!G12,'[2]Country populations'!R12)</f>
        <v>34647</v>
      </c>
      <c r="H11" s="40">
        <f>IF([2]Setup!$B$19=[2]Setup!$T$19,'[2]Country populations'!H12,'[2]Country populations'!S12)</f>
        <v>35856</v>
      </c>
      <c r="I11" s="40">
        <f>IF([2]Setup!$B$19=[2]Setup!$T$19,'[2]Country populations'!I12,'[2]Country populations'!T12)</f>
        <v>37059</v>
      </c>
      <c r="J11" s="40">
        <f>IF([2]Setup!$B$19=[2]Setup!$T$19,'[2]Country populations'!J12,'[2]Country populations'!U12)</f>
        <v>38257</v>
      </c>
      <c r="K11" s="40">
        <f>IF([2]Setup!$B$19=[2]Setup!$T$19,'[2]Country populations'!K12,'[2]Country populations'!V12)</f>
        <v>39453</v>
      </c>
      <c r="L11" s="40">
        <f>IF([2]Setup!$B$19=[2]Setup!$T$19,'[2]Country populations'!L12,'[2]Country populations'!W12)</f>
        <v>40645</v>
      </c>
      <c r="M11" s="40" t="str">
        <f t="shared" si="2"/>
        <v>Australia</v>
      </c>
      <c r="N11" s="40">
        <f>IF([2]Setup!$B$20=[2]Setup!$U$19,'[2]Country populations'!X12,'[2]Country populations'!AI12)</f>
        <v>78</v>
      </c>
      <c r="O11" s="40">
        <f>IF([2]Setup!$B$20=[2]Setup!$U$19,'[2]Country populations'!Y12,'[2]Country populations'!AJ12)</f>
        <v>90</v>
      </c>
      <c r="P11" s="40">
        <f>IF([2]Setup!$B$20=[2]Setup!$U$19,'[2]Country populations'!Z12,'[2]Country populations'!AK12)</f>
        <v>99</v>
      </c>
      <c r="Q11" s="40">
        <f>IF([2]Setup!$B$20=[2]Setup!$U$19,'[2]Country populations'!AA12,'[2]Country populations'!AL12)</f>
        <v>109</v>
      </c>
      <c r="R11" s="40">
        <f>IF([2]Setup!$B$20=[2]Setup!$U$19,'[2]Country populations'!AB12,'[2]Country populations'!AM12)</f>
        <v>118</v>
      </c>
      <c r="S11" s="40">
        <f>IF([2]Setup!$B$20=[2]Setup!$U$19,'[2]Country populations'!AC12,'[2]Country populations'!AN12)</f>
        <v>127</v>
      </c>
      <c r="T11" s="40">
        <f>IF([2]Setup!$B$20=[2]Setup!$U$19,'[2]Country populations'!AD12,'[2]Country populations'!AO12)</f>
        <v>137</v>
      </c>
      <c r="U11" s="40">
        <f>IF([2]Setup!$B$20=[2]Setup!$U$19,'[2]Country populations'!AE12,'[2]Country populations'!AP12)</f>
        <v>147</v>
      </c>
      <c r="V11" s="40">
        <f>IF([2]Setup!$B$20=[2]Setup!$U$19,'[2]Country populations'!AF12,'[2]Country populations'!AQ12)</f>
        <v>158</v>
      </c>
      <c r="W11" s="40">
        <f>IF([2]Setup!$B$20=[2]Setup!$U$19,'[2]Country populations'!AG12,'[2]Country populations'!AR12)</f>
        <v>163</v>
      </c>
      <c r="X11" s="40">
        <f>IF([2]Setup!$B$20=[2]Setup!$U$19,'[2]Country populations'!AH12,'[2]Country populations'!AS12)</f>
        <v>168</v>
      </c>
      <c r="Y11" s="40" t="str">
        <f t="shared" si="3"/>
        <v>Australia</v>
      </c>
      <c r="Z11" s="40">
        <f>IF([2]Setup!$B$21=[2]Setup!$V$19,'[2]Country populations'!AT12,'[2]Country populations'!BE12)</f>
        <v>92</v>
      </c>
      <c r="AA11" s="40">
        <f>IF([2]Setup!$B$21=[2]Setup!$V$19,'[2]Country populations'!AU12,'[2]Country populations'!BF12)</f>
        <v>95</v>
      </c>
      <c r="AB11" s="40">
        <f>IF([2]Setup!$B$21=[2]Setup!$V$19,'[2]Country populations'!AV12,'[2]Country populations'!BG12)</f>
        <v>98</v>
      </c>
      <c r="AC11" s="40">
        <f>IF([2]Setup!$B$21=[2]Setup!$V$19,'[2]Country populations'!AW12,'[2]Country populations'!BH12)</f>
        <v>101</v>
      </c>
      <c r="AD11" s="40">
        <f>IF([2]Setup!$B$21=[2]Setup!$V$19,'[2]Country populations'!AX12,'[2]Country populations'!BI12)</f>
        <v>103</v>
      </c>
      <c r="AE11" s="40">
        <f>IF([2]Setup!$B$21=[2]Setup!$V$19,'[2]Country populations'!AY12,'[2]Country populations'!BJ12)</f>
        <v>105</v>
      </c>
      <c r="AF11" s="40">
        <f>IF([2]Setup!$B$21=[2]Setup!$V$19,'[2]Country populations'!AZ12,'[2]Country populations'!BK12)</f>
        <v>107</v>
      </c>
      <c r="AG11" s="40">
        <f>IF([2]Setup!$B$21=[2]Setup!$V$19,'[2]Country populations'!BA12,'[2]Country populations'!BL12)</f>
        <v>108</v>
      </c>
      <c r="AH11" s="40">
        <f>IF([2]Setup!$B$21=[2]Setup!$V$19,'[2]Country populations'!BB12,'[2]Country populations'!BM12)</f>
        <v>110</v>
      </c>
      <c r="AI11" s="40">
        <f>IF([2]Setup!$B$21=[2]Setup!$V$19,'[2]Country populations'!BC12,'[2]Country populations'!BN12)</f>
        <v>112</v>
      </c>
      <c r="AJ11" s="40">
        <f>IF([2]Setup!$B$21=[2]Setup!$V$19,'[2]Country populations'!BD12,'[2]Country populations'!BO12)</f>
        <v>113</v>
      </c>
    </row>
    <row r="12" spans="1:36" x14ac:dyDescent="0.25">
      <c r="A12" t="str">
        <f>'[2]Country populations'!A13</f>
        <v>Austria</v>
      </c>
      <c r="B12" s="40">
        <f>IF([2]Setup!$B$19=[2]Setup!$T$19,'[2]Country populations'!B13,'[2]Country populations'!M13)</f>
        <v>10820</v>
      </c>
      <c r="C12" s="40">
        <f>IF([2]Setup!$B$19=[2]Setup!$T$19,'[2]Country populations'!C13,'[2]Country populations'!N13)</f>
        <v>11137</v>
      </c>
      <c r="D12" s="40">
        <f>IF([2]Setup!$B$19=[2]Setup!$T$19,'[2]Country populations'!D13,'[2]Country populations'!O13)</f>
        <v>11447</v>
      </c>
      <c r="E12" s="40">
        <f>IF([2]Setup!$B$19=[2]Setup!$T$19,'[2]Country populations'!E13,'[2]Country populations'!P13)</f>
        <v>11748</v>
      </c>
      <c r="F12" s="40">
        <f>IF([2]Setup!$B$19=[2]Setup!$T$19,'[2]Country populations'!F13,'[2]Country populations'!Q13)</f>
        <v>12041</v>
      </c>
      <c r="G12" s="40">
        <f>IF([2]Setup!$B$19=[2]Setup!$T$19,'[2]Country populations'!G13,'[2]Country populations'!R13)</f>
        <v>12326</v>
      </c>
      <c r="H12" s="40">
        <f>IF([2]Setup!$B$19=[2]Setup!$T$19,'[2]Country populations'!H13,'[2]Country populations'!S13)</f>
        <v>12603</v>
      </c>
      <c r="I12" s="40">
        <f>IF([2]Setup!$B$19=[2]Setup!$T$19,'[2]Country populations'!I13,'[2]Country populations'!T13)</f>
        <v>12871</v>
      </c>
      <c r="J12" s="40">
        <f>IF([2]Setup!$B$19=[2]Setup!$T$19,'[2]Country populations'!J13,'[2]Country populations'!U13)</f>
        <v>13132</v>
      </c>
      <c r="K12" s="40">
        <f>IF([2]Setup!$B$19=[2]Setup!$T$19,'[2]Country populations'!K13,'[2]Country populations'!V13)</f>
        <v>13386</v>
      </c>
      <c r="L12" s="40">
        <f>IF([2]Setup!$B$19=[2]Setup!$T$19,'[2]Country populations'!L13,'[2]Country populations'!W13)</f>
        <v>13633</v>
      </c>
      <c r="M12" s="40" t="str">
        <f t="shared" si="2"/>
        <v>Austria</v>
      </c>
      <c r="N12" s="40">
        <f>IF([2]Setup!$B$20=[2]Setup!$U$19,'[2]Country populations'!X13,'[2]Country populations'!AI13)</f>
        <v>20</v>
      </c>
      <c r="O12" s="40">
        <f>IF([2]Setup!$B$20=[2]Setup!$U$19,'[2]Country populations'!Y13,'[2]Country populations'!AJ13)</f>
        <v>24</v>
      </c>
      <c r="P12" s="40">
        <f>IF([2]Setup!$B$20=[2]Setup!$U$19,'[2]Country populations'!Z13,'[2]Country populations'!AK13)</f>
        <v>26</v>
      </c>
      <c r="Q12" s="40">
        <f>IF([2]Setup!$B$20=[2]Setup!$U$19,'[2]Country populations'!AA13,'[2]Country populations'!AL13)</f>
        <v>29</v>
      </c>
      <c r="R12" s="40">
        <f>IF([2]Setup!$B$20=[2]Setup!$U$19,'[2]Country populations'!AB13,'[2]Country populations'!AM13)</f>
        <v>34</v>
      </c>
      <c r="S12" s="40">
        <f>IF([2]Setup!$B$20=[2]Setup!$U$19,'[2]Country populations'!AC13,'[2]Country populations'!AN13)</f>
        <v>38</v>
      </c>
      <c r="T12" s="40">
        <f>IF([2]Setup!$B$20=[2]Setup!$U$19,'[2]Country populations'!AD13,'[2]Country populations'!AO13)</f>
        <v>44</v>
      </c>
      <c r="U12" s="40">
        <f>IF([2]Setup!$B$20=[2]Setup!$U$19,'[2]Country populations'!AE13,'[2]Country populations'!AP13)</f>
        <v>49</v>
      </c>
      <c r="V12" s="40">
        <f>IF([2]Setup!$B$20=[2]Setup!$U$19,'[2]Country populations'!AF13,'[2]Country populations'!AQ13)</f>
        <v>55</v>
      </c>
      <c r="W12" s="40">
        <f>IF([2]Setup!$B$20=[2]Setup!$U$19,'[2]Country populations'!AG13,'[2]Country populations'!AR13)</f>
        <v>61</v>
      </c>
      <c r="X12" s="40">
        <f>IF([2]Setup!$B$20=[2]Setup!$U$19,'[2]Country populations'!AH13,'[2]Country populations'!AS13)</f>
        <v>67</v>
      </c>
      <c r="Y12" s="40" t="str">
        <f t="shared" si="3"/>
        <v>Austria</v>
      </c>
      <c r="Z12" s="40">
        <f>IF([2]Setup!$B$21=[2]Setup!$V$19,'[2]Country populations'!AT13,'[2]Country populations'!BE13)</f>
        <v>48</v>
      </c>
      <c r="AA12" s="40">
        <f>IF([2]Setup!$B$21=[2]Setup!$V$19,'[2]Country populations'!AU13,'[2]Country populations'!BF13)</f>
        <v>49</v>
      </c>
      <c r="AB12" s="40">
        <f>IF([2]Setup!$B$21=[2]Setup!$V$19,'[2]Country populations'!AV13,'[2]Country populations'!BG13)</f>
        <v>51</v>
      </c>
      <c r="AC12" s="40">
        <f>IF([2]Setup!$B$21=[2]Setup!$V$19,'[2]Country populations'!AW13,'[2]Country populations'!BH13)</f>
        <v>52</v>
      </c>
      <c r="AD12" s="40">
        <f>IF([2]Setup!$B$21=[2]Setup!$V$19,'[2]Country populations'!AX13,'[2]Country populations'!BI13)</f>
        <v>53</v>
      </c>
      <c r="AE12" s="40">
        <f>IF([2]Setup!$B$21=[2]Setup!$V$19,'[2]Country populations'!AY13,'[2]Country populations'!BJ13)</f>
        <v>54</v>
      </c>
      <c r="AF12" s="40">
        <f>IF([2]Setup!$B$21=[2]Setup!$V$19,'[2]Country populations'!AZ13,'[2]Country populations'!BK13)</f>
        <v>54</v>
      </c>
      <c r="AG12" s="40">
        <f>IF([2]Setup!$B$21=[2]Setup!$V$19,'[2]Country populations'!BA13,'[2]Country populations'!BL13)</f>
        <v>55</v>
      </c>
      <c r="AH12" s="40">
        <f>IF([2]Setup!$B$21=[2]Setup!$V$19,'[2]Country populations'!BB13,'[2]Country populations'!BM13)</f>
        <v>56</v>
      </c>
      <c r="AI12" s="40">
        <f>IF([2]Setup!$B$21=[2]Setup!$V$19,'[2]Country populations'!BC13,'[2]Country populations'!BN13)</f>
        <v>56</v>
      </c>
      <c r="AJ12" s="40">
        <f>IF([2]Setup!$B$21=[2]Setup!$V$19,'[2]Country populations'!BD13,'[2]Country populations'!BO13)</f>
        <v>56</v>
      </c>
    </row>
    <row r="13" spans="1:36" x14ac:dyDescent="0.25">
      <c r="A13" t="str">
        <f>'[2]Country populations'!A14</f>
        <v>Azerbaijan</v>
      </c>
      <c r="B13" s="40">
        <f>IF([2]Setup!$B$19=[2]Setup!$T$19,'[2]Country populations'!B14,'[2]Country populations'!M14)</f>
        <v>12128</v>
      </c>
      <c r="C13" s="40">
        <f>IF([2]Setup!$B$19=[2]Setup!$T$19,'[2]Country populations'!C14,'[2]Country populations'!N14)</f>
        <v>13013</v>
      </c>
      <c r="D13" s="40">
        <f>IF([2]Setup!$B$19=[2]Setup!$T$19,'[2]Country populations'!D14,'[2]Country populations'!O14)</f>
        <v>13932</v>
      </c>
      <c r="E13" s="40">
        <f>IF([2]Setup!$B$19=[2]Setup!$T$19,'[2]Country populations'!E14,'[2]Country populations'!P14)</f>
        <v>14904</v>
      </c>
      <c r="F13" s="40">
        <f>IF([2]Setup!$B$19=[2]Setup!$T$19,'[2]Country populations'!F14,'[2]Country populations'!Q14)</f>
        <v>15934</v>
      </c>
      <c r="G13" s="40">
        <f>IF([2]Setup!$B$19=[2]Setup!$T$19,'[2]Country populations'!G14,'[2]Country populations'!R14)</f>
        <v>17025</v>
      </c>
      <c r="H13" s="40">
        <f>IF([2]Setup!$B$19=[2]Setup!$T$19,'[2]Country populations'!H14,'[2]Country populations'!S14)</f>
        <v>18029</v>
      </c>
      <c r="I13" s="40">
        <f>IF([2]Setup!$B$19=[2]Setup!$T$19,'[2]Country populations'!I14,'[2]Country populations'!T14)</f>
        <v>18944</v>
      </c>
      <c r="J13" s="40">
        <f>IF([2]Setup!$B$19=[2]Setup!$T$19,'[2]Country populations'!J14,'[2]Country populations'!U14)</f>
        <v>19770</v>
      </c>
      <c r="K13" s="40">
        <f>IF([2]Setup!$B$19=[2]Setup!$T$19,'[2]Country populations'!K14,'[2]Country populations'!V14)</f>
        <v>20518</v>
      </c>
      <c r="L13" s="40">
        <f>IF([2]Setup!$B$19=[2]Setup!$T$19,'[2]Country populations'!L14,'[2]Country populations'!W14)</f>
        <v>21189</v>
      </c>
      <c r="M13" s="40" t="str">
        <f t="shared" si="2"/>
        <v>Azerbaijan</v>
      </c>
      <c r="N13" s="40">
        <f>IF([2]Setup!$B$20=[2]Setup!$U$19,'[2]Country populations'!X14,'[2]Country populations'!AI14)</f>
        <v>171</v>
      </c>
      <c r="O13" s="40">
        <f>IF([2]Setup!$B$20=[2]Setup!$U$19,'[2]Country populations'!Y14,'[2]Country populations'!AJ14)</f>
        <v>182</v>
      </c>
      <c r="P13" s="40">
        <f>IF([2]Setup!$B$20=[2]Setup!$U$19,'[2]Country populations'!Z14,'[2]Country populations'!AK14)</f>
        <v>194</v>
      </c>
      <c r="Q13" s="40">
        <f>IF([2]Setup!$B$20=[2]Setup!$U$19,'[2]Country populations'!AA14,'[2]Country populations'!AL14)</f>
        <v>206</v>
      </c>
      <c r="R13" s="40">
        <f>IF([2]Setup!$B$20=[2]Setup!$U$19,'[2]Country populations'!AB14,'[2]Country populations'!AM14)</f>
        <v>218</v>
      </c>
      <c r="S13" s="40">
        <f>IF([2]Setup!$B$20=[2]Setup!$U$19,'[2]Country populations'!AC14,'[2]Country populations'!AN14)</f>
        <v>229</v>
      </c>
      <c r="T13" s="40">
        <f>IF([2]Setup!$B$20=[2]Setup!$U$19,'[2]Country populations'!AD14,'[2]Country populations'!AO14)</f>
        <v>241</v>
      </c>
      <c r="U13" s="40">
        <f>IF([2]Setup!$B$20=[2]Setup!$U$19,'[2]Country populations'!AE14,'[2]Country populations'!AP14)</f>
        <v>252</v>
      </c>
      <c r="V13" s="40">
        <f>IF([2]Setup!$B$20=[2]Setup!$U$19,'[2]Country populations'!AF14,'[2]Country populations'!AQ14)</f>
        <v>261</v>
      </c>
      <c r="W13" s="40">
        <f>IF([2]Setup!$B$20=[2]Setup!$U$19,'[2]Country populations'!AG14,'[2]Country populations'!AR14)</f>
        <v>268</v>
      </c>
      <c r="X13" s="40">
        <f>IF([2]Setup!$B$20=[2]Setup!$U$19,'[2]Country populations'!AH14,'[2]Country populations'!AS14)</f>
        <v>274</v>
      </c>
      <c r="Y13" s="40" t="str">
        <f t="shared" si="3"/>
        <v>Azerbaijan</v>
      </c>
      <c r="Z13" s="40">
        <f>IF([2]Setup!$B$21=[2]Setup!$V$19,'[2]Country populations'!AT14,'[2]Country populations'!BE14)</f>
        <v>128</v>
      </c>
      <c r="AA13" s="40">
        <f>IF([2]Setup!$B$21=[2]Setup!$V$19,'[2]Country populations'!AU14,'[2]Country populations'!BF14)</f>
        <v>134</v>
      </c>
      <c r="AB13" s="40">
        <f>IF([2]Setup!$B$21=[2]Setup!$V$19,'[2]Country populations'!AV14,'[2]Country populations'!BG14)</f>
        <v>139</v>
      </c>
      <c r="AC13" s="40">
        <f>IF([2]Setup!$B$21=[2]Setup!$V$19,'[2]Country populations'!AW14,'[2]Country populations'!BH14)</f>
        <v>145</v>
      </c>
      <c r="AD13" s="40">
        <f>IF([2]Setup!$B$21=[2]Setup!$V$19,'[2]Country populations'!AX14,'[2]Country populations'!BI14)</f>
        <v>151</v>
      </c>
      <c r="AE13" s="40">
        <f>IF([2]Setup!$B$21=[2]Setup!$V$19,'[2]Country populations'!AY14,'[2]Country populations'!BJ14)</f>
        <v>158</v>
      </c>
      <c r="AF13" s="40">
        <f>IF([2]Setup!$B$21=[2]Setup!$V$19,'[2]Country populations'!AZ14,'[2]Country populations'!BK14)</f>
        <v>164</v>
      </c>
      <c r="AG13" s="40">
        <f>IF([2]Setup!$B$21=[2]Setup!$V$19,'[2]Country populations'!BA14,'[2]Country populations'!BL14)</f>
        <v>168</v>
      </c>
      <c r="AH13" s="40">
        <f>IF([2]Setup!$B$21=[2]Setup!$V$19,'[2]Country populations'!BB14,'[2]Country populations'!BM14)</f>
        <v>171</v>
      </c>
      <c r="AI13" s="40">
        <f>IF([2]Setup!$B$21=[2]Setup!$V$19,'[2]Country populations'!BC14,'[2]Country populations'!BN14)</f>
        <v>173</v>
      </c>
      <c r="AJ13" s="40">
        <f>IF([2]Setup!$B$21=[2]Setup!$V$19,'[2]Country populations'!BD14,'[2]Country populations'!BO14)</f>
        <v>175</v>
      </c>
    </row>
    <row r="14" spans="1:36" x14ac:dyDescent="0.25">
      <c r="A14" t="str">
        <f>'[2]Country populations'!A15</f>
        <v>Bahamas</v>
      </c>
      <c r="B14" s="40">
        <f>IF([2]Setup!$B$19=[2]Setup!$T$19,'[2]Country populations'!B15,'[2]Country populations'!M15)</f>
        <v>9499</v>
      </c>
      <c r="C14" s="40">
        <f>IF([2]Setup!$B$19=[2]Setup!$T$19,'[2]Country populations'!C15,'[2]Country populations'!N15)</f>
        <v>9683</v>
      </c>
      <c r="D14" s="40">
        <f>IF([2]Setup!$B$19=[2]Setup!$T$19,'[2]Country populations'!D15,'[2]Country populations'!O15)</f>
        <v>9822</v>
      </c>
      <c r="E14" s="40">
        <f>IF([2]Setup!$B$19=[2]Setup!$T$19,'[2]Country populations'!E15,'[2]Country populations'!P15)</f>
        <v>9926</v>
      </c>
      <c r="F14" s="40">
        <f>IF([2]Setup!$B$19=[2]Setup!$T$19,'[2]Country populations'!F15,'[2]Country populations'!Q15)</f>
        <v>10003</v>
      </c>
      <c r="G14" s="40">
        <f>IF([2]Setup!$B$19=[2]Setup!$T$19,'[2]Country populations'!G15,'[2]Country populations'!R15)</f>
        <v>10058</v>
      </c>
      <c r="H14" s="40">
        <f>IF([2]Setup!$B$19=[2]Setup!$T$19,'[2]Country populations'!H15,'[2]Country populations'!S15)</f>
        <v>10111</v>
      </c>
      <c r="I14" s="40">
        <f>IF([2]Setup!$B$19=[2]Setup!$T$19,'[2]Country populations'!I15,'[2]Country populations'!T15)</f>
        <v>10163</v>
      </c>
      <c r="J14" s="40">
        <f>IF([2]Setup!$B$19=[2]Setup!$T$19,'[2]Country populations'!J15,'[2]Country populations'!U15)</f>
        <v>10212</v>
      </c>
      <c r="K14" s="40">
        <f>IF([2]Setup!$B$19=[2]Setup!$T$19,'[2]Country populations'!K15,'[2]Country populations'!V15)</f>
        <v>10259</v>
      </c>
      <c r="L14" s="40">
        <f>IF([2]Setup!$B$19=[2]Setup!$T$19,'[2]Country populations'!L15,'[2]Country populations'!W15)</f>
        <v>10305</v>
      </c>
      <c r="M14" s="40" t="str">
        <f t="shared" si="2"/>
        <v>Bahamas</v>
      </c>
      <c r="N14" s="40">
        <f>IF([2]Setup!$B$20=[2]Setup!$U$19,'[2]Country populations'!X15,'[2]Country populations'!AI15)</f>
        <v>415</v>
      </c>
      <c r="O14" s="40">
        <f>IF([2]Setup!$B$20=[2]Setup!$U$19,'[2]Country populations'!Y15,'[2]Country populations'!AJ15)</f>
        <v>426</v>
      </c>
      <c r="P14" s="40">
        <f>IF([2]Setup!$B$20=[2]Setup!$U$19,'[2]Country populations'!Z15,'[2]Country populations'!AK15)</f>
        <v>450</v>
      </c>
      <c r="Q14" s="40">
        <f>IF([2]Setup!$B$20=[2]Setup!$U$19,'[2]Country populations'!AA15,'[2]Country populations'!AL15)</f>
        <v>483</v>
      </c>
      <c r="R14" s="40">
        <f>IF([2]Setup!$B$20=[2]Setup!$U$19,'[2]Country populations'!AB15,'[2]Country populations'!AM15)</f>
        <v>508</v>
      </c>
      <c r="S14" s="40">
        <f>IF([2]Setup!$B$20=[2]Setup!$U$19,'[2]Country populations'!AC15,'[2]Country populations'!AN15)</f>
        <v>529</v>
      </c>
      <c r="T14" s="40">
        <f>IF([2]Setup!$B$20=[2]Setup!$U$19,'[2]Country populations'!AD15,'[2]Country populations'!AO15)</f>
        <v>549</v>
      </c>
      <c r="U14" s="40">
        <f>IF([2]Setup!$B$20=[2]Setup!$U$19,'[2]Country populations'!AE15,'[2]Country populations'!AP15)</f>
        <v>564</v>
      </c>
      <c r="V14" s="40">
        <f>IF([2]Setup!$B$20=[2]Setup!$U$19,'[2]Country populations'!AF15,'[2]Country populations'!AQ15)</f>
        <v>577</v>
      </c>
      <c r="W14" s="40">
        <f>IF([2]Setup!$B$20=[2]Setup!$U$19,'[2]Country populations'!AG15,'[2]Country populations'!AR15)</f>
        <v>586</v>
      </c>
      <c r="X14" s="40">
        <f>IF([2]Setup!$B$20=[2]Setup!$U$19,'[2]Country populations'!AH15,'[2]Country populations'!AS15)</f>
        <v>593</v>
      </c>
      <c r="Y14" s="40" t="str">
        <f t="shared" si="3"/>
        <v>Bahamas</v>
      </c>
      <c r="Z14" s="40">
        <f>IF([2]Setup!$B$21=[2]Setup!$V$19,'[2]Country populations'!AT15,'[2]Country populations'!BE15)</f>
        <v>158</v>
      </c>
      <c r="AA14" s="40">
        <f>IF([2]Setup!$B$21=[2]Setup!$V$19,'[2]Country populations'!AU15,'[2]Country populations'!BF15)</f>
        <v>160</v>
      </c>
      <c r="AB14" s="40">
        <f>IF([2]Setup!$B$21=[2]Setup!$V$19,'[2]Country populations'!AV15,'[2]Country populations'!BG15)</f>
        <v>159</v>
      </c>
      <c r="AC14" s="40">
        <f>IF([2]Setup!$B$21=[2]Setup!$V$19,'[2]Country populations'!AW15,'[2]Country populations'!BH15)</f>
        <v>158</v>
      </c>
      <c r="AD14" s="40">
        <f>IF([2]Setup!$B$21=[2]Setup!$V$19,'[2]Country populations'!AX15,'[2]Country populations'!BI15)</f>
        <v>156</v>
      </c>
      <c r="AE14" s="40">
        <f>IF([2]Setup!$B$21=[2]Setup!$V$19,'[2]Country populations'!AY15,'[2]Country populations'!BJ15)</f>
        <v>153</v>
      </c>
      <c r="AF14" s="40">
        <f>IF([2]Setup!$B$21=[2]Setup!$V$19,'[2]Country populations'!AZ15,'[2]Country populations'!BK15)</f>
        <v>149</v>
      </c>
      <c r="AG14" s="40">
        <f>IF([2]Setup!$B$21=[2]Setup!$V$19,'[2]Country populations'!BA15,'[2]Country populations'!BL15)</f>
        <v>145</v>
      </c>
      <c r="AH14" s="40">
        <f>IF([2]Setup!$B$21=[2]Setup!$V$19,'[2]Country populations'!BB15,'[2]Country populations'!BM15)</f>
        <v>140</v>
      </c>
      <c r="AI14" s="40">
        <f>IF([2]Setup!$B$21=[2]Setup!$V$19,'[2]Country populations'!BC15,'[2]Country populations'!BN15)</f>
        <v>135</v>
      </c>
      <c r="AJ14" s="40">
        <f>IF([2]Setup!$B$21=[2]Setup!$V$19,'[2]Country populations'!BD15,'[2]Country populations'!BO15)</f>
        <v>130</v>
      </c>
    </row>
    <row r="15" spans="1:36" x14ac:dyDescent="0.25">
      <c r="A15" t="str">
        <f>'[2]Country populations'!A16</f>
        <v>Bahrain</v>
      </c>
      <c r="B15" s="40">
        <f>IF([2]Setup!$B$19=[2]Setup!$T$19,'[2]Country populations'!B16,'[2]Country populations'!M16)</f>
        <v>0</v>
      </c>
      <c r="C15" s="40">
        <f>IF([2]Setup!$B$19=[2]Setup!$T$19,'[2]Country populations'!C16,'[2]Country populations'!N16)</f>
        <v>0</v>
      </c>
      <c r="D15" s="40">
        <f>IF([2]Setup!$B$19=[2]Setup!$T$19,'[2]Country populations'!D16,'[2]Country populations'!O16)</f>
        <v>0</v>
      </c>
      <c r="E15" s="40">
        <f>IF([2]Setup!$B$19=[2]Setup!$T$19,'[2]Country populations'!E16,'[2]Country populations'!P16)</f>
        <v>0</v>
      </c>
      <c r="F15" s="40">
        <f>IF([2]Setup!$B$19=[2]Setup!$T$19,'[2]Country populations'!F16,'[2]Country populations'!Q16)</f>
        <v>0</v>
      </c>
      <c r="G15" s="40">
        <f>IF([2]Setup!$B$19=[2]Setup!$T$19,'[2]Country populations'!G16,'[2]Country populations'!R16)</f>
        <v>0</v>
      </c>
      <c r="H15" s="40">
        <f>IF([2]Setup!$B$19=[2]Setup!$T$19,'[2]Country populations'!H16,'[2]Country populations'!S16)</f>
        <v>0</v>
      </c>
      <c r="I15" s="40">
        <f>IF([2]Setup!$B$19=[2]Setup!$T$19,'[2]Country populations'!I16,'[2]Country populations'!T16)</f>
        <v>0</v>
      </c>
      <c r="J15" s="40">
        <f>IF([2]Setup!$B$19=[2]Setup!$T$19,'[2]Country populations'!J16,'[2]Country populations'!U16)</f>
        <v>0</v>
      </c>
      <c r="K15" s="40">
        <f>IF([2]Setup!$B$19=[2]Setup!$T$19,'[2]Country populations'!K16,'[2]Country populations'!V16)</f>
        <v>0</v>
      </c>
      <c r="L15" s="40">
        <f>IF([2]Setup!$B$19=[2]Setup!$T$19,'[2]Country populations'!L16,'[2]Country populations'!W16)</f>
        <v>0</v>
      </c>
      <c r="M15" s="40" t="str">
        <f t="shared" si="2"/>
        <v>Bahrain</v>
      </c>
      <c r="N15" s="40">
        <f>IF([2]Setup!$B$20=[2]Setup!$U$19,'[2]Country populations'!X16,'[2]Country populations'!AI16)</f>
        <v>0</v>
      </c>
      <c r="O15" s="40">
        <f>IF([2]Setup!$B$20=[2]Setup!$U$19,'[2]Country populations'!Y16,'[2]Country populations'!AJ16)</f>
        <v>0</v>
      </c>
      <c r="P15" s="40">
        <f>IF([2]Setup!$B$20=[2]Setup!$U$19,'[2]Country populations'!Z16,'[2]Country populations'!AK16)</f>
        <v>0</v>
      </c>
      <c r="Q15" s="40">
        <f>IF([2]Setup!$B$20=[2]Setup!$U$19,'[2]Country populations'!AA16,'[2]Country populations'!AL16)</f>
        <v>0</v>
      </c>
      <c r="R15" s="40">
        <f>IF([2]Setup!$B$20=[2]Setup!$U$19,'[2]Country populations'!AB16,'[2]Country populations'!AM16)</f>
        <v>0</v>
      </c>
      <c r="S15" s="40">
        <f>IF([2]Setup!$B$20=[2]Setup!$U$19,'[2]Country populations'!AC16,'[2]Country populations'!AN16)</f>
        <v>0</v>
      </c>
      <c r="T15" s="40">
        <f>IF([2]Setup!$B$20=[2]Setup!$U$19,'[2]Country populations'!AD16,'[2]Country populations'!AO16)</f>
        <v>0</v>
      </c>
      <c r="U15" s="40">
        <f>IF([2]Setup!$B$20=[2]Setup!$U$19,'[2]Country populations'!AE16,'[2]Country populations'!AP16)</f>
        <v>0</v>
      </c>
      <c r="V15" s="40">
        <f>IF([2]Setup!$B$20=[2]Setup!$U$19,'[2]Country populations'!AF16,'[2]Country populations'!AQ16)</f>
        <v>0</v>
      </c>
      <c r="W15" s="40">
        <f>IF([2]Setup!$B$20=[2]Setup!$U$19,'[2]Country populations'!AG16,'[2]Country populations'!AR16)</f>
        <v>0</v>
      </c>
      <c r="X15" s="40">
        <f>IF([2]Setup!$B$20=[2]Setup!$U$19,'[2]Country populations'!AH16,'[2]Country populations'!AS16)</f>
        <v>0</v>
      </c>
      <c r="Y15" s="40" t="str">
        <f t="shared" si="3"/>
        <v>Bahrain</v>
      </c>
      <c r="Z15" s="40">
        <f>IF([2]Setup!$B$21=[2]Setup!$V$19,'[2]Country populations'!AT16,'[2]Country populations'!BE16)</f>
        <v>0</v>
      </c>
      <c r="AA15" s="40">
        <f>IF([2]Setup!$B$21=[2]Setup!$V$19,'[2]Country populations'!AU16,'[2]Country populations'!BF16)</f>
        <v>0</v>
      </c>
      <c r="AB15" s="40">
        <f>IF([2]Setup!$B$21=[2]Setup!$V$19,'[2]Country populations'!AV16,'[2]Country populations'!BG16)</f>
        <v>0</v>
      </c>
      <c r="AC15" s="40">
        <f>IF([2]Setup!$B$21=[2]Setup!$V$19,'[2]Country populations'!AW16,'[2]Country populations'!BH16)</f>
        <v>0</v>
      </c>
      <c r="AD15" s="40">
        <f>IF([2]Setup!$B$21=[2]Setup!$V$19,'[2]Country populations'!AX16,'[2]Country populations'!BI16)</f>
        <v>0</v>
      </c>
      <c r="AE15" s="40">
        <f>IF([2]Setup!$B$21=[2]Setup!$V$19,'[2]Country populations'!AY16,'[2]Country populations'!BJ16)</f>
        <v>0</v>
      </c>
      <c r="AF15" s="40">
        <f>IF([2]Setup!$B$21=[2]Setup!$V$19,'[2]Country populations'!AZ16,'[2]Country populations'!BK16)</f>
        <v>0</v>
      </c>
      <c r="AG15" s="40">
        <f>IF([2]Setup!$B$21=[2]Setup!$V$19,'[2]Country populations'!BA16,'[2]Country populations'!BL16)</f>
        <v>0</v>
      </c>
      <c r="AH15" s="40">
        <f>IF([2]Setup!$B$21=[2]Setup!$V$19,'[2]Country populations'!BB16,'[2]Country populations'!BM16)</f>
        <v>0</v>
      </c>
      <c r="AI15" s="40">
        <f>IF([2]Setup!$B$21=[2]Setup!$V$19,'[2]Country populations'!BC16,'[2]Country populations'!BN16)</f>
        <v>0</v>
      </c>
      <c r="AJ15" s="40">
        <f>IF([2]Setup!$B$21=[2]Setup!$V$19,'[2]Country populations'!BD16,'[2]Country populations'!BO16)</f>
        <v>0</v>
      </c>
    </row>
    <row r="16" spans="1:36" x14ac:dyDescent="0.25">
      <c r="A16" t="str">
        <f>'[2]Country populations'!A17</f>
        <v>Bangladesh</v>
      </c>
      <c r="B16" s="40">
        <f>IF([2]Setup!$B$19=[2]Setup!$T$19,'[2]Country populations'!B17,'[2]Country populations'!M17)</f>
        <v>11749</v>
      </c>
      <c r="C16" s="40">
        <f>IF([2]Setup!$B$19=[2]Setup!$T$19,'[2]Country populations'!C17,'[2]Country populations'!N17)</f>
        <v>12811</v>
      </c>
      <c r="D16" s="40">
        <f>IF([2]Setup!$B$19=[2]Setup!$T$19,'[2]Country populations'!D17,'[2]Country populations'!O17)</f>
        <v>13966</v>
      </c>
      <c r="E16" s="40">
        <f>IF([2]Setup!$B$19=[2]Setup!$T$19,'[2]Country populations'!E17,'[2]Country populations'!P17)</f>
        <v>15230</v>
      </c>
      <c r="F16" s="40">
        <f>IF([2]Setup!$B$19=[2]Setup!$T$19,'[2]Country populations'!F17,'[2]Country populations'!Q17)</f>
        <v>16599</v>
      </c>
      <c r="G16" s="40">
        <f>IF([2]Setup!$B$19=[2]Setup!$T$19,'[2]Country populations'!G17,'[2]Country populations'!R17)</f>
        <v>18053</v>
      </c>
      <c r="H16" s="40">
        <f>IF([2]Setup!$B$19=[2]Setup!$T$19,'[2]Country populations'!H17,'[2]Country populations'!S17)</f>
        <v>19516</v>
      </c>
      <c r="I16" s="40">
        <f>IF([2]Setup!$B$19=[2]Setup!$T$19,'[2]Country populations'!I17,'[2]Country populations'!T17)</f>
        <v>20964</v>
      </c>
      <c r="J16" s="40">
        <f>IF([2]Setup!$B$19=[2]Setup!$T$19,'[2]Country populations'!J17,'[2]Country populations'!U17)</f>
        <v>22395</v>
      </c>
      <c r="K16" s="40">
        <f>IF([2]Setup!$B$19=[2]Setup!$T$19,'[2]Country populations'!K17,'[2]Country populations'!V17)</f>
        <v>23807</v>
      </c>
      <c r="L16" s="40">
        <f>IF([2]Setup!$B$19=[2]Setup!$T$19,'[2]Country populations'!L17,'[2]Country populations'!W17)</f>
        <v>25200</v>
      </c>
      <c r="M16" s="40" t="str">
        <f t="shared" si="2"/>
        <v>Bangladesh</v>
      </c>
      <c r="N16" s="40">
        <f>IF([2]Setup!$B$20=[2]Setup!$U$19,'[2]Country populations'!X17,'[2]Country populations'!AI17)</f>
        <v>366</v>
      </c>
      <c r="O16" s="40">
        <f>IF([2]Setup!$B$20=[2]Setup!$U$19,'[2]Country populations'!Y17,'[2]Country populations'!AJ17)</f>
        <v>415</v>
      </c>
      <c r="P16" s="40">
        <f>IF([2]Setup!$B$20=[2]Setup!$U$19,'[2]Country populations'!Z17,'[2]Country populations'!AK17)</f>
        <v>459</v>
      </c>
      <c r="Q16" s="40">
        <f>IF([2]Setup!$B$20=[2]Setup!$U$19,'[2]Country populations'!AA17,'[2]Country populations'!AL17)</f>
        <v>509</v>
      </c>
      <c r="R16" s="40">
        <f>IF([2]Setup!$B$20=[2]Setup!$U$19,'[2]Country populations'!AB17,'[2]Country populations'!AM17)</f>
        <v>563</v>
      </c>
      <c r="S16" s="40">
        <f>IF([2]Setup!$B$20=[2]Setup!$U$19,'[2]Country populations'!AC17,'[2]Country populations'!AN17)</f>
        <v>631</v>
      </c>
      <c r="T16" s="40">
        <f>IF([2]Setup!$B$20=[2]Setup!$U$19,'[2]Country populations'!AD17,'[2]Country populations'!AO17)</f>
        <v>729</v>
      </c>
      <c r="U16" s="40">
        <f>IF([2]Setup!$B$20=[2]Setup!$U$19,'[2]Country populations'!AE17,'[2]Country populations'!AP17)</f>
        <v>838</v>
      </c>
      <c r="V16" s="40">
        <f>IF([2]Setup!$B$20=[2]Setup!$U$19,'[2]Country populations'!AF17,'[2]Country populations'!AQ17)</f>
        <v>948</v>
      </c>
      <c r="W16" s="40">
        <f>IF([2]Setup!$B$20=[2]Setup!$U$19,'[2]Country populations'!AG17,'[2]Country populations'!AR17)</f>
        <v>1059</v>
      </c>
      <c r="X16" s="40">
        <f>IF([2]Setup!$B$20=[2]Setup!$U$19,'[2]Country populations'!AH17,'[2]Country populations'!AS17)</f>
        <v>1168</v>
      </c>
      <c r="Y16" s="40" t="str">
        <f t="shared" si="3"/>
        <v>Bangladesh</v>
      </c>
      <c r="Z16" s="40">
        <f>IF([2]Setup!$B$21=[2]Setup!$V$19,'[2]Country populations'!AT17,'[2]Country populations'!BE17)</f>
        <v>187</v>
      </c>
      <c r="AA16" s="40">
        <f>IF([2]Setup!$B$21=[2]Setup!$V$19,'[2]Country populations'!AU17,'[2]Country populations'!BF17)</f>
        <v>202</v>
      </c>
      <c r="AB16" s="40">
        <f>IF([2]Setup!$B$21=[2]Setup!$V$19,'[2]Country populations'!AV17,'[2]Country populations'!BG17)</f>
        <v>217</v>
      </c>
      <c r="AC16" s="40">
        <f>IF([2]Setup!$B$21=[2]Setup!$V$19,'[2]Country populations'!AW17,'[2]Country populations'!BH17)</f>
        <v>233</v>
      </c>
      <c r="AD16" s="40">
        <f>IF([2]Setup!$B$21=[2]Setup!$V$19,'[2]Country populations'!AX17,'[2]Country populations'!BI17)</f>
        <v>249</v>
      </c>
      <c r="AE16" s="40">
        <f>IF([2]Setup!$B$21=[2]Setup!$V$19,'[2]Country populations'!AY17,'[2]Country populations'!BJ17)</f>
        <v>265</v>
      </c>
      <c r="AF16" s="40">
        <f>IF([2]Setup!$B$21=[2]Setup!$V$19,'[2]Country populations'!AZ17,'[2]Country populations'!BK17)</f>
        <v>279</v>
      </c>
      <c r="AG16" s="40">
        <f>IF([2]Setup!$B$21=[2]Setup!$V$19,'[2]Country populations'!BA17,'[2]Country populations'!BL17)</f>
        <v>291</v>
      </c>
      <c r="AH16" s="40">
        <f>IF([2]Setup!$B$21=[2]Setup!$V$19,'[2]Country populations'!BB17,'[2]Country populations'!BM17)</f>
        <v>301</v>
      </c>
      <c r="AI16" s="40">
        <f>IF([2]Setup!$B$21=[2]Setup!$V$19,'[2]Country populations'!BC17,'[2]Country populations'!BN17)</f>
        <v>309</v>
      </c>
      <c r="AJ16" s="40">
        <f>IF([2]Setup!$B$21=[2]Setup!$V$19,'[2]Country populations'!BD17,'[2]Country populations'!BO17)</f>
        <v>316</v>
      </c>
    </row>
    <row r="17" spans="1:36" x14ac:dyDescent="0.25">
      <c r="A17" t="str">
        <f>'[2]Country populations'!A18</f>
        <v>Barbados</v>
      </c>
      <c r="B17" s="40">
        <f>IF([2]Setup!$B$19=[2]Setup!$T$19,'[2]Country populations'!B18,'[2]Country populations'!M18)</f>
        <v>1723</v>
      </c>
      <c r="C17" s="40">
        <f>IF([2]Setup!$B$19=[2]Setup!$T$19,'[2]Country populations'!C18,'[2]Country populations'!N18)</f>
        <v>1729</v>
      </c>
      <c r="D17" s="40">
        <f>IF([2]Setup!$B$19=[2]Setup!$T$19,'[2]Country populations'!D18,'[2]Country populations'!O18)</f>
        <v>1729</v>
      </c>
      <c r="E17" s="40">
        <f>IF([2]Setup!$B$19=[2]Setup!$T$19,'[2]Country populations'!E18,'[2]Country populations'!P18)</f>
        <v>1725</v>
      </c>
      <c r="F17" s="40">
        <f>IF([2]Setup!$B$19=[2]Setup!$T$19,'[2]Country populations'!F18,'[2]Country populations'!Q18)</f>
        <v>1718</v>
      </c>
      <c r="G17" s="40">
        <f>IF([2]Setup!$B$19=[2]Setup!$T$19,'[2]Country populations'!G18,'[2]Country populations'!R18)</f>
        <v>1707</v>
      </c>
      <c r="H17" s="40">
        <f>IF([2]Setup!$B$19=[2]Setup!$T$19,'[2]Country populations'!H18,'[2]Country populations'!S18)</f>
        <v>1696</v>
      </c>
      <c r="I17" s="40">
        <f>IF([2]Setup!$B$19=[2]Setup!$T$19,'[2]Country populations'!I18,'[2]Country populations'!T18)</f>
        <v>1684</v>
      </c>
      <c r="J17" s="40">
        <f>IF([2]Setup!$B$19=[2]Setup!$T$19,'[2]Country populations'!J18,'[2]Country populations'!U18)</f>
        <v>1669</v>
      </c>
      <c r="K17" s="40">
        <f>IF([2]Setup!$B$19=[2]Setup!$T$19,'[2]Country populations'!K18,'[2]Country populations'!V18)</f>
        <v>1653</v>
      </c>
      <c r="L17" s="40">
        <f>IF([2]Setup!$B$19=[2]Setup!$T$19,'[2]Country populations'!L18,'[2]Country populations'!W18)</f>
        <v>1636</v>
      </c>
      <c r="M17" s="40" t="str">
        <f t="shared" si="2"/>
        <v>Barbados</v>
      </c>
      <c r="N17" s="40">
        <f>IF([2]Setup!$B$20=[2]Setup!$U$19,'[2]Country populations'!X18,'[2]Country populations'!AI18)</f>
        <v>33</v>
      </c>
      <c r="O17" s="40">
        <f>IF([2]Setup!$B$20=[2]Setup!$U$19,'[2]Country populations'!Y18,'[2]Country populations'!AJ18)</f>
        <v>35</v>
      </c>
      <c r="P17" s="40">
        <f>IF([2]Setup!$B$20=[2]Setup!$U$19,'[2]Country populations'!Z18,'[2]Country populations'!AK18)</f>
        <v>35</v>
      </c>
      <c r="Q17" s="40">
        <f>IF([2]Setup!$B$20=[2]Setup!$U$19,'[2]Country populations'!AA18,'[2]Country populations'!AL18)</f>
        <v>36</v>
      </c>
      <c r="R17" s="40">
        <f>IF([2]Setup!$B$20=[2]Setup!$U$19,'[2]Country populations'!AB18,'[2]Country populations'!AM18)</f>
        <v>36</v>
      </c>
      <c r="S17" s="40">
        <f>IF([2]Setup!$B$20=[2]Setup!$U$19,'[2]Country populations'!AC18,'[2]Country populations'!AN18)</f>
        <v>35</v>
      </c>
      <c r="T17" s="40">
        <f>IF([2]Setup!$B$20=[2]Setup!$U$19,'[2]Country populations'!AD18,'[2]Country populations'!AO18)</f>
        <v>32</v>
      </c>
      <c r="U17" s="40">
        <f>IF([2]Setup!$B$20=[2]Setup!$U$19,'[2]Country populations'!AE18,'[2]Country populations'!AP18)</f>
        <v>29</v>
      </c>
      <c r="V17" s="40">
        <f>IF([2]Setup!$B$20=[2]Setup!$U$19,'[2]Country populations'!AF18,'[2]Country populations'!AQ18)</f>
        <v>28</v>
      </c>
      <c r="W17" s="40">
        <f>IF([2]Setup!$B$20=[2]Setup!$U$19,'[2]Country populations'!AG18,'[2]Country populations'!AR18)</f>
        <v>27</v>
      </c>
      <c r="X17" s="40">
        <f>IF([2]Setup!$B$20=[2]Setup!$U$19,'[2]Country populations'!AH18,'[2]Country populations'!AS18)</f>
        <v>26</v>
      </c>
      <c r="Y17" s="40" t="str">
        <f t="shared" si="3"/>
        <v>Barbados</v>
      </c>
      <c r="Z17" s="40">
        <f>IF([2]Setup!$B$21=[2]Setup!$V$19,'[2]Country populations'!AT18,'[2]Country populations'!BE18)</f>
        <v>13</v>
      </c>
      <c r="AA17" s="40">
        <f>IF([2]Setup!$B$21=[2]Setup!$V$19,'[2]Country populations'!AU18,'[2]Country populations'!BF18)</f>
        <v>12</v>
      </c>
      <c r="AB17" s="40">
        <f>IF([2]Setup!$B$21=[2]Setup!$V$19,'[2]Country populations'!AV18,'[2]Country populations'!BG18)</f>
        <v>12</v>
      </c>
      <c r="AC17" s="40">
        <f>IF([2]Setup!$B$21=[2]Setup!$V$19,'[2]Country populations'!AW18,'[2]Country populations'!BH18)</f>
        <v>11</v>
      </c>
      <c r="AD17" s="40">
        <f>IF([2]Setup!$B$21=[2]Setup!$V$19,'[2]Country populations'!AX18,'[2]Country populations'!BI18)</f>
        <v>11</v>
      </c>
      <c r="AE17" s="40">
        <f>IF([2]Setup!$B$21=[2]Setup!$V$19,'[2]Country populations'!AY18,'[2]Country populations'!BJ18)</f>
        <v>10</v>
      </c>
      <c r="AF17" s="40">
        <f>IF([2]Setup!$B$21=[2]Setup!$V$19,'[2]Country populations'!AZ18,'[2]Country populations'!BK18)</f>
        <v>10</v>
      </c>
      <c r="AG17" s="40">
        <f>IF([2]Setup!$B$21=[2]Setup!$V$19,'[2]Country populations'!BA18,'[2]Country populations'!BL18)</f>
        <v>9</v>
      </c>
      <c r="AH17" s="40">
        <f>IF([2]Setup!$B$21=[2]Setup!$V$19,'[2]Country populations'!BB18,'[2]Country populations'!BM18)</f>
        <v>9</v>
      </c>
      <c r="AI17" s="40">
        <f>IF([2]Setup!$B$21=[2]Setup!$V$19,'[2]Country populations'!BC18,'[2]Country populations'!BN18)</f>
        <v>8</v>
      </c>
      <c r="AJ17" s="40">
        <f>IF([2]Setup!$B$21=[2]Setup!$V$19,'[2]Country populations'!BD18,'[2]Country populations'!BO18)</f>
        <v>8</v>
      </c>
    </row>
    <row r="18" spans="1:36" x14ac:dyDescent="0.25">
      <c r="A18" t="str">
        <f>'[2]Country populations'!A19</f>
        <v>Belarus</v>
      </c>
      <c r="B18" s="40">
        <f>IF([2]Setup!$B$19=[2]Setup!$T$19,'[2]Country populations'!B19,'[2]Country populations'!M19)</f>
        <v>36114</v>
      </c>
      <c r="C18" s="40">
        <f>IF([2]Setup!$B$19=[2]Setup!$T$19,'[2]Country populations'!C19,'[2]Country populations'!N19)</f>
        <v>38135</v>
      </c>
      <c r="D18" s="40">
        <f>IF([2]Setup!$B$19=[2]Setup!$T$19,'[2]Country populations'!D19,'[2]Country populations'!O19)</f>
        <v>39999</v>
      </c>
      <c r="E18" s="40">
        <f>IF([2]Setup!$B$19=[2]Setup!$T$19,'[2]Country populations'!E19,'[2]Country populations'!P19)</f>
        <v>41825</v>
      </c>
      <c r="F18" s="40">
        <f>IF([2]Setup!$B$19=[2]Setup!$T$19,'[2]Country populations'!F19,'[2]Country populations'!Q19)</f>
        <v>43756</v>
      </c>
      <c r="G18" s="40">
        <f>IF([2]Setup!$B$19=[2]Setup!$T$19,'[2]Country populations'!G19,'[2]Country populations'!R19)</f>
        <v>46270</v>
      </c>
      <c r="H18" s="40">
        <f>IF([2]Setup!$B$19=[2]Setup!$T$19,'[2]Country populations'!H19,'[2]Country populations'!S19)</f>
        <v>48620</v>
      </c>
      <c r="I18" s="40">
        <f>IF([2]Setup!$B$19=[2]Setup!$T$19,'[2]Country populations'!I19,'[2]Country populations'!T19)</f>
        <v>50652</v>
      </c>
      <c r="J18" s="40">
        <f>IF([2]Setup!$B$19=[2]Setup!$T$19,'[2]Country populations'!J19,'[2]Country populations'!U19)</f>
        <v>52389</v>
      </c>
      <c r="K18" s="40">
        <f>IF([2]Setup!$B$19=[2]Setup!$T$19,'[2]Country populations'!K19,'[2]Country populations'!V19)</f>
        <v>53846</v>
      </c>
      <c r="L18" s="40">
        <f>IF([2]Setup!$B$19=[2]Setup!$T$19,'[2]Country populations'!L19,'[2]Country populations'!W19)</f>
        <v>55034</v>
      </c>
      <c r="M18" s="40" t="str">
        <f t="shared" si="2"/>
        <v>Belarus</v>
      </c>
      <c r="N18" s="40">
        <f>IF([2]Setup!$B$20=[2]Setup!$U$19,'[2]Country populations'!X19,'[2]Country populations'!AI19)</f>
        <v>893</v>
      </c>
      <c r="O18" s="40">
        <f>IF([2]Setup!$B$20=[2]Setup!$U$19,'[2]Country populations'!Y19,'[2]Country populations'!AJ19)</f>
        <v>1130</v>
      </c>
      <c r="P18" s="40">
        <f>IF([2]Setup!$B$20=[2]Setup!$U$19,'[2]Country populations'!Z19,'[2]Country populations'!AK19)</f>
        <v>1327</v>
      </c>
      <c r="Q18" s="40">
        <f>IF([2]Setup!$B$20=[2]Setup!$U$19,'[2]Country populations'!AA19,'[2]Country populations'!AL19)</f>
        <v>1498</v>
      </c>
      <c r="R18" s="40">
        <f>IF([2]Setup!$B$20=[2]Setup!$U$19,'[2]Country populations'!AB19,'[2]Country populations'!AM19)</f>
        <v>1639</v>
      </c>
      <c r="S18" s="40">
        <f>IF([2]Setup!$B$20=[2]Setup!$U$19,'[2]Country populations'!AC19,'[2]Country populations'!AN19)</f>
        <v>1768</v>
      </c>
      <c r="T18" s="40">
        <f>IF([2]Setup!$B$20=[2]Setup!$U$19,'[2]Country populations'!AD19,'[2]Country populations'!AO19)</f>
        <v>1900</v>
      </c>
      <c r="U18" s="40">
        <f>IF([2]Setup!$B$20=[2]Setup!$U$19,'[2]Country populations'!AE19,'[2]Country populations'!AP19)</f>
        <v>2036</v>
      </c>
      <c r="V18" s="40">
        <f>IF([2]Setup!$B$20=[2]Setup!$U$19,'[2]Country populations'!AF19,'[2]Country populations'!AQ19)</f>
        <v>2174</v>
      </c>
      <c r="W18" s="40">
        <f>IF([2]Setup!$B$20=[2]Setup!$U$19,'[2]Country populations'!AG19,'[2]Country populations'!AR19)</f>
        <v>2302</v>
      </c>
      <c r="X18" s="40">
        <f>IF([2]Setup!$B$20=[2]Setup!$U$19,'[2]Country populations'!AH19,'[2]Country populations'!AS19)</f>
        <v>2416</v>
      </c>
      <c r="Y18" s="40" t="str">
        <f t="shared" si="3"/>
        <v>Belarus</v>
      </c>
      <c r="Z18" s="40">
        <f>IF([2]Setup!$B$21=[2]Setup!$V$19,'[2]Country populations'!AT19,'[2]Country populations'!BE19)</f>
        <v>400</v>
      </c>
      <c r="AA18" s="40">
        <f>IF([2]Setup!$B$21=[2]Setup!$V$19,'[2]Country populations'!AU19,'[2]Country populations'!BF19)</f>
        <v>434</v>
      </c>
      <c r="AB18" s="40">
        <f>IF([2]Setup!$B$21=[2]Setup!$V$19,'[2]Country populations'!AV19,'[2]Country populations'!BG19)</f>
        <v>466</v>
      </c>
      <c r="AC18" s="40">
        <f>IF([2]Setup!$B$21=[2]Setup!$V$19,'[2]Country populations'!AW19,'[2]Country populations'!BH19)</f>
        <v>496</v>
      </c>
      <c r="AD18" s="40">
        <f>IF([2]Setup!$B$21=[2]Setup!$V$19,'[2]Country populations'!AX19,'[2]Country populations'!BI19)</f>
        <v>525</v>
      </c>
      <c r="AE18" s="40">
        <f>IF([2]Setup!$B$21=[2]Setup!$V$19,'[2]Country populations'!AY19,'[2]Country populations'!BJ19)</f>
        <v>559</v>
      </c>
      <c r="AF18" s="40">
        <f>IF([2]Setup!$B$21=[2]Setup!$V$19,'[2]Country populations'!AZ19,'[2]Country populations'!BK19)</f>
        <v>592</v>
      </c>
      <c r="AG18" s="40">
        <f>IF([2]Setup!$B$21=[2]Setup!$V$19,'[2]Country populations'!BA19,'[2]Country populations'!BL19)</f>
        <v>617</v>
      </c>
      <c r="AH18" s="40">
        <f>IF([2]Setup!$B$21=[2]Setup!$V$19,'[2]Country populations'!BB19,'[2]Country populations'!BM19)</f>
        <v>634</v>
      </c>
      <c r="AI18" s="40">
        <f>IF([2]Setup!$B$21=[2]Setup!$V$19,'[2]Country populations'!BC19,'[2]Country populations'!BN19)</f>
        <v>647</v>
      </c>
      <c r="AJ18" s="40">
        <f>IF([2]Setup!$B$21=[2]Setup!$V$19,'[2]Country populations'!BD19,'[2]Country populations'!BO19)</f>
        <v>654</v>
      </c>
    </row>
    <row r="19" spans="1:36" x14ac:dyDescent="0.25">
      <c r="A19" t="str">
        <f>'[2]Country populations'!A20</f>
        <v>Belgium</v>
      </c>
      <c r="B19" s="40">
        <f>IF([2]Setup!$B$19=[2]Setup!$T$19,'[2]Country populations'!B20,'[2]Country populations'!M20)</f>
        <v>24376</v>
      </c>
      <c r="C19" s="40">
        <f>IF([2]Setup!$B$19=[2]Setup!$T$19,'[2]Country populations'!C20,'[2]Country populations'!N20)</f>
        <v>25611</v>
      </c>
      <c r="D19" s="40">
        <f>IF([2]Setup!$B$19=[2]Setup!$T$19,'[2]Country populations'!D20,'[2]Country populations'!O20)</f>
        <v>26826</v>
      </c>
      <c r="E19" s="40">
        <f>IF([2]Setup!$B$19=[2]Setup!$T$19,'[2]Country populations'!E20,'[2]Country populations'!P20)</f>
        <v>28022</v>
      </c>
      <c r="F19" s="40">
        <f>IF([2]Setup!$B$19=[2]Setup!$T$19,'[2]Country populations'!F20,'[2]Country populations'!Q20)</f>
        <v>29200</v>
      </c>
      <c r="G19" s="40">
        <f>IF([2]Setup!$B$19=[2]Setup!$T$19,'[2]Country populations'!G20,'[2]Country populations'!R20)</f>
        <v>30362</v>
      </c>
      <c r="H19" s="40">
        <f>IF([2]Setup!$B$19=[2]Setup!$T$19,'[2]Country populations'!H20,'[2]Country populations'!S20)</f>
        <v>31509</v>
      </c>
      <c r="I19" s="40">
        <f>IF([2]Setup!$B$19=[2]Setup!$T$19,'[2]Country populations'!I20,'[2]Country populations'!T20)</f>
        <v>32640</v>
      </c>
      <c r="J19" s="40">
        <f>IF([2]Setup!$B$19=[2]Setup!$T$19,'[2]Country populations'!J20,'[2]Country populations'!U20)</f>
        <v>33754</v>
      </c>
      <c r="K19" s="40">
        <f>IF([2]Setup!$B$19=[2]Setup!$T$19,'[2]Country populations'!K20,'[2]Country populations'!V20)</f>
        <v>34853</v>
      </c>
      <c r="L19" s="40">
        <f>IF([2]Setup!$B$19=[2]Setup!$T$19,'[2]Country populations'!L20,'[2]Country populations'!W20)</f>
        <v>35935</v>
      </c>
      <c r="M19" s="40" t="str">
        <f t="shared" si="2"/>
        <v>Belgium</v>
      </c>
      <c r="N19" s="40">
        <f>IF([2]Setup!$B$20=[2]Setup!$U$19,'[2]Country populations'!X20,'[2]Country populations'!AI20)</f>
        <v>85</v>
      </c>
      <c r="O19" s="40">
        <f>IF([2]Setup!$B$20=[2]Setup!$U$19,'[2]Country populations'!Y20,'[2]Country populations'!AJ20)</f>
        <v>102</v>
      </c>
      <c r="P19" s="40">
        <f>IF([2]Setup!$B$20=[2]Setup!$U$19,'[2]Country populations'!Z20,'[2]Country populations'!AK20)</f>
        <v>118</v>
      </c>
      <c r="Q19" s="40">
        <f>IF([2]Setup!$B$20=[2]Setup!$U$19,'[2]Country populations'!AA20,'[2]Country populations'!AL20)</f>
        <v>133</v>
      </c>
      <c r="R19" s="40">
        <f>IF([2]Setup!$B$20=[2]Setup!$U$19,'[2]Country populations'!AB20,'[2]Country populations'!AM20)</f>
        <v>149</v>
      </c>
      <c r="S19" s="40">
        <f>IF([2]Setup!$B$20=[2]Setup!$U$19,'[2]Country populations'!AC20,'[2]Country populations'!AN20)</f>
        <v>165</v>
      </c>
      <c r="T19" s="40">
        <f>IF([2]Setup!$B$20=[2]Setup!$U$19,'[2]Country populations'!AD20,'[2]Country populations'!AO20)</f>
        <v>185</v>
      </c>
      <c r="U19" s="40">
        <f>IF([2]Setup!$B$20=[2]Setup!$U$19,'[2]Country populations'!AE20,'[2]Country populations'!AP20)</f>
        <v>209</v>
      </c>
      <c r="V19" s="40">
        <f>IF([2]Setup!$B$20=[2]Setup!$U$19,'[2]Country populations'!AF20,'[2]Country populations'!AQ20)</f>
        <v>235</v>
      </c>
      <c r="W19" s="40">
        <f>IF([2]Setup!$B$20=[2]Setup!$U$19,'[2]Country populations'!AG20,'[2]Country populations'!AR20)</f>
        <v>262</v>
      </c>
      <c r="X19" s="40">
        <f>IF([2]Setup!$B$20=[2]Setup!$U$19,'[2]Country populations'!AH20,'[2]Country populations'!AS20)</f>
        <v>289</v>
      </c>
      <c r="Y19" s="40" t="str">
        <f t="shared" si="3"/>
        <v>Belgium</v>
      </c>
      <c r="Z19" s="40">
        <f>IF([2]Setup!$B$21=[2]Setup!$V$19,'[2]Country populations'!AT20,'[2]Country populations'!BE20)</f>
        <v>235</v>
      </c>
      <c r="AA19" s="40">
        <f>IF([2]Setup!$B$21=[2]Setup!$V$19,'[2]Country populations'!AU20,'[2]Country populations'!BF20)</f>
        <v>244</v>
      </c>
      <c r="AB19" s="40">
        <f>IF([2]Setup!$B$21=[2]Setup!$V$19,'[2]Country populations'!AV20,'[2]Country populations'!BG20)</f>
        <v>253</v>
      </c>
      <c r="AC19" s="40">
        <f>IF([2]Setup!$B$21=[2]Setup!$V$19,'[2]Country populations'!AW20,'[2]Country populations'!BH20)</f>
        <v>260</v>
      </c>
      <c r="AD19" s="40">
        <f>IF([2]Setup!$B$21=[2]Setup!$V$19,'[2]Country populations'!AX20,'[2]Country populations'!BI20)</f>
        <v>267</v>
      </c>
      <c r="AE19" s="40">
        <f>IF([2]Setup!$B$21=[2]Setup!$V$19,'[2]Country populations'!AY20,'[2]Country populations'!BJ20)</f>
        <v>273</v>
      </c>
      <c r="AF19" s="40">
        <f>IF([2]Setup!$B$21=[2]Setup!$V$19,'[2]Country populations'!AZ20,'[2]Country populations'!BK20)</f>
        <v>278</v>
      </c>
      <c r="AG19" s="40">
        <f>IF([2]Setup!$B$21=[2]Setup!$V$19,'[2]Country populations'!BA20,'[2]Country populations'!BL20)</f>
        <v>282</v>
      </c>
      <c r="AH19" s="40">
        <f>IF([2]Setup!$B$21=[2]Setup!$V$19,'[2]Country populations'!BB20,'[2]Country populations'!BM20)</f>
        <v>285</v>
      </c>
      <c r="AI19" s="40">
        <f>IF([2]Setup!$B$21=[2]Setup!$V$19,'[2]Country populations'!BC20,'[2]Country populations'!BN20)</f>
        <v>287</v>
      </c>
      <c r="AJ19" s="40">
        <f>IF([2]Setup!$B$21=[2]Setup!$V$19,'[2]Country populations'!BD20,'[2]Country populations'!BO20)</f>
        <v>288</v>
      </c>
    </row>
    <row r="20" spans="1:36" x14ac:dyDescent="0.25">
      <c r="A20" t="str">
        <f>'[2]Country populations'!A21</f>
        <v>Belize</v>
      </c>
      <c r="B20" s="40">
        <f>IF([2]Setup!$B$19=[2]Setup!$T$19,'[2]Country populations'!B21,'[2]Country populations'!M21)</f>
        <v>3226</v>
      </c>
      <c r="C20" s="40">
        <f>IF([2]Setup!$B$19=[2]Setup!$T$19,'[2]Country populations'!C21,'[2]Country populations'!N21)</f>
        <v>3316</v>
      </c>
      <c r="D20" s="40">
        <f>IF([2]Setup!$B$19=[2]Setup!$T$19,'[2]Country populations'!D21,'[2]Country populations'!O21)</f>
        <v>3403</v>
      </c>
      <c r="E20" s="40">
        <f>IF([2]Setup!$B$19=[2]Setup!$T$19,'[2]Country populations'!E21,'[2]Country populations'!P21)</f>
        <v>3485</v>
      </c>
      <c r="F20" s="40">
        <f>IF([2]Setup!$B$19=[2]Setup!$T$19,'[2]Country populations'!F21,'[2]Country populations'!Q21)</f>
        <v>3566</v>
      </c>
      <c r="G20" s="40">
        <f>IF([2]Setup!$B$19=[2]Setup!$T$19,'[2]Country populations'!G21,'[2]Country populations'!R21)</f>
        <v>3646</v>
      </c>
      <c r="H20" s="40">
        <f>IF([2]Setup!$B$19=[2]Setup!$T$19,'[2]Country populations'!H21,'[2]Country populations'!S21)</f>
        <v>3723</v>
      </c>
      <c r="I20" s="40">
        <f>IF([2]Setup!$B$19=[2]Setup!$T$19,'[2]Country populations'!I21,'[2]Country populations'!T21)</f>
        <v>3797</v>
      </c>
      <c r="J20" s="40">
        <f>IF([2]Setup!$B$19=[2]Setup!$T$19,'[2]Country populations'!J21,'[2]Country populations'!U21)</f>
        <v>3870</v>
      </c>
      <c r="K20" s="40">
        <f>IF([2]Setup!$B$19=[2]Setup!$T$19,'[2]Country populations'!K21,'[2]Country populations'!V21)</f>
        <v>3942</v>
      </c>
      <c r="L20" s="40">
        <f>IF([2]Setup!$B$19=[2]Setup!$T$19,'[2]Country populations'!L21,'[2]Country populations'!W21)</f>
        <v>4013</v>
      </c>
      <c r="M20" s="40" t="str">
        <f t="shared" si="2"/>
        <v>Belize</v>
      </c>
      <c r="N20" s="40">
        <f>IF([2]Setup!$B$20=[2]Setup!$U$19,'[2]Country populations'!X21,'[2]Country populations'!AI21)</f>
        <v>204</v>
      </c>
      <c r="O20" s="40">
        <f>IF([2]Setup!$B$20=[2]Setup!$U$19,'[2]Country populations'!Y21,'[2]Country populations'!AJ21)</f>
        <v>186</v>
      </c>
      <c r="P20" s="40">
        <f>IF([2]Setup!$B$20=[2]Setup!$U$19,'[2]Country populations'!Z21,'[2]Country populations'!AK21)</f>
        <v>169</v>
      </c>
      <c r="Q20" s="40">
        <f>IF([2]Setup!$B$20=[2]Setup!$U$19,'[2]Country populations'!AA21,'[2]Country populations'!AL21)</f>
        <v>153</v>
      </c>
      <c r="R20" s="40">
        <f>IF([2]Setup!$B$20=[2]Setup!$U$19,'[2]Country populations'!AB21,'[2]Country populations'!AM21)</f>
        <v>137</v>
      </c>
      <c r="S20" s="40">
        <f>IF([2]Setup!$B$20=[2]Setup!$U$19,'[2]Country populations'!AC21,'[2]Country populations'!AN21)</f>
        <v>121</v>
      </c>
      <c r="T20" s="40">
        <f>IF([2]Setup!$B$20=[2]Setup!$U$19,'[2]Country populations'!AD21,'[2]Country populations'!AO21)</f>
        <v>105</v>
      </c>
      <c r="U20" s="40">
        <f>IF([2]Setup!$B$20=[2]Setup!$U$19,'[2]Country populations'!AE21,'[2]Country populations'!AP21)</f>
        <v>91</v>
      </c>
      <c r="V20" s="40">
        <f>IF([2]Setup!$B$20=[2]Setup!$U$19,'[2]Country populations'!AF21,'[2]Country populations'!AQ21)</f>
        <v>78</v>
      </c>
      <c r="W20" s="40">
        <f>IF([2]Setup!$B$20=[2]Setup!$U$19,'[2]Country populations'!AG21,'[2]Country populations'!AR21)</f>
        <v>64</v>
      </c>
      <c r="X20" s="40">
        <f>IF([2]Setup!$B$20=[2]Setup!$U$19,'[2]Country populations'!AH21,'[2]Country populations'!AS21)</f>
        <v>52</v>
      </c>
      <c r="Y20" s="40" t="str">
        <f t="shared" si="3"/>
        <v>Belize</v>
      </c>
      <c r="Z20" s="40">
        <f>IF([2]Setup!$B$21=[2]Setup!$V$19,'[2]Country populations'!AT21,'[2]Country populations'!BE21)</f>
        <v>62</v>
      </c>
      <c r="AA20" s="40">
        <f>IF([2]Setup!$B$21=[2]Setup!$V$19,'[2]Country populations'!AU21,'[2]Country populations'!BF21)</f>
        <v>60</v>
      </c>
      <c r="AB20" s="40">
        <f>IF([2]Setup!$B$21=[2]Setup!$V$19,'[2]Country populations'!AV21,'[2]Country populations'!BG21)</f>
        <v>58</v>
      </c>
      <c r="AC20" s="40">
        <f>IF([2]Setup!$B$21=[2]Setup!$V$19,'[2]Country populations'!AW21,'[2]Country populations'!BH21)</f>
        <v>57</v>
      </c>
      <c r="AD20" s="40">
        <f>IF([2]Setup!$B$21=[2]Setup!$V$19,'[2]Country populations'!AX21,'[2]Country populations'!BI21)</f>
        <v>56</v>
      </c>
      <c r="AE20" s="40">
        <f>IF([2]Setup!$B$21=[2]Setup!$V$19,'[2]Country populations'!AY21,'[2]Country populations'!BJ21)</f>
        <v>55</v>
      </c>
      <c r="AF20" s="40">
        <f>IF([2]Setup!$B$21=[2]Setup!$V$19,'[2]Country populations'!AZ21,'[2]Country populations'!BK21)</f>
        <v>54</v>
      </c>
      <c r="AG20" s="40">
        <f>IF([2]Setup!$B$21=[2]Setup!$V$19,'[2]Country populations'!BA21,'[2]Country populations'!BL21)</f>
        <v>53</v>
      </c>
      <c r="AH20" s="40">
        <f>IF([2]Setup!$B$21=[2]Setup!$V$19,'[2]Country populations'!BB21,'[2]Country populations'!BM21)</f>
        <v>53</v>
      </c>
      <c r="AI20" s="40">
        <f>IF([2]Setup!$B$21=[2]Setup!$V$19,'[2]Country populations'!BC21,'[2]Country populations'!BN21)</f>
        <v>52</v>
      </c>
      <c r="AJ20" s="40">
        <f>IF([2]Setup!$B$21=[2]Setup!$V$19,'[2]Country populations'!BD21,'[2]Country populations'!BO21)</f>
        <v>52</v>
      </c>
    </row>
    <row r="21" spans="1:36" x14ac:dyDescent="0.25">
      <c r="A21" t="str">
        <f>'[2]Country populations'!A22</f>
        <v>Benin</v>
      </c>
      <c r="B21" s="40">
        <f>IF([2]Setup!$B$19=[2]Setup!$T$19,'[2]Country populations'!B22,'[2]Country populations'!M22)</f>
        <v>72312</v>
      </c>
      <c r="C21" s="40">
        <f>IF([2]Setup!$B$19=[2]Setup!$T$19,'[2]Country populations'!C22,'[2]Country populations'!N22)</f>
        <v>73075</v>
      </c>
      <c r="D21" s="40">
        <f>IF([2]Setup!$B$19=[2]Setup!$T$19,'[2]Country populations'!D22,'[2]Country populations'!O22)</f>
        <v>73131</v>
      </c>
      <c r="E21" s="40">
        <f>IF([2]Setup!$B$19=[2]Setup!$T$19,'[2]Country populations'!E22,'[2]Country populations'!P22)</f>
        <v>73405</v>
      </c>
      <c r="F21" s="40">
        <f>IF([2]Setup!$B$19=[2]Setup!$T$19,'[2]Country populations'!F22,'[2]Country populations'!Q22)</f>
        <v>73903</v>
      </c>
      <c r="G21" s="40">
        <f>IF([2]Setup!$B$19=[2]Setup!$T$19,'[2]Country populations'!G22,'[2]Country populations'!R22)</f>
        <v>74522</v>
      </c>
      <c r="H21" s="40">
        <f>IF([2]Setup!$B$19=[2]Setup!$T$19,'[2]Country populations'!H22,'[2]Country populations'!S22)</f>
        <v>75282</v>
      </c>
      <c r="I21" s="40">
        <f>IF([2]Setup!$B$19=[2]Setup!$T$19,'[2]Country populations'!I22,'[2]Country populations'!T22)</f>
        <v>76082</v>
      </c>
      <c r="J21" s="40">
        <f>IF([2]Setup!$B$19=[2]Setup!$T$19,'[2]Country populations'!J22,'[2]Country populations'!U22)</f>
        <v>76910</v>
      </c>
      <c r="K21" s="40">
        <f>IF([2]Setup!$B$19=[2]Setup!$T$19,'[2]Country populations'!K22,'[2]Country populations'!V22)</f>
        <v>77711</v>
      </c>
      <c r="L21" s="40">
        <f>IF([2]Setup!$B$19=[2]Setup!$T$19,'[2]Country populations'!L22,'[2]Country populations'!W22)</f>
        <v>78478</v>
      </c>
      <c r="M21" s="40" t="str">
        <f t="shared" si="2"/>
        <v>Benin</v>
      </c>
      <c r="N21" s="40">
        <f>IF([2]Setup!$B$20=[2]Setup!$U$19,'[2]Country populations'!X22,'[2]Country populations'!AI22)</f>
        <v>6983</v>
      </c>
      <c r="O21" s="40">
        <f>IF([2]Setup!$B$20=[2]Setup!$U$19,'[2]Country populations'!Y22,'[2]Country populations'!AJ22)</f>
        <v>6610</v>
      </c>
      <c r="P21" s="40">
        <f>IF([2]Setup!$B$20=[2]Setup!$U$19,'[2]Country populations'!Z22,'[2]Country populations'!AK22)</f>
        <v>6190</v>
      </c>
      <c r="Q21" s="40">
        <f>IF([2]Setup!$B$20=[2]Setup!$U$19,'[2]Country populations'!AA22,'[2]Country populations'!AL22)</f>
        <v>5735</v>
      </c>
      <c r="R21" s="40">
        <f>IF([2]Setup!$B$20=[2]Setup!$U$19,'[2]Country populations'!AB22,'[2]Country populations'!AM22)</f>
        <v>5266</v>
      </c>
      <c r="S21" s="40">
        <f>IF([2]Setup!$B$20=[2]Setup!$U$19,'[2]Country populations'!AC22,'[2]Country populations'!AN22)</f>
        <v>4826</v>
      </c>
      <c r="T21" s="40">
        <f>IF([2]Setup!$B$20=[2]Setup!$U$19,'[2]Country populations'!AD22,'[2]Country populations'!AO22)</f>
        <v>4418</v>
      </c>
      <c r="U21" s="40">
        <f>IF([2]Setup!$B$20=[2]Setup!$U$19,'[2]Country populations'!AE22,'[2]Country populations'!AP22)</f>
        <v>3976</v>
      </c>
      <c r="V21" s="40">
        <f>IF([2]Setup!$B$20=[2]Setup!$U$19,'[2]Country populations'!AF22,'[2]Country populations'!AQ22)</f>
        <v>3507</v>
      </c>
      <c r="W21" s="40">
        <f>IF([2]Setup!$B$20=[2]Setup!$U$19,'[2]Country populations'!AG22,'[2]Country populations'!AR22)</f>
        <v>3077</v>
      </c>
      <c r="X21" s="40">
        <f>IF([2]Setup!$B$20=[2]Setup!$U$19,'[2]Country populations'!AH22,'[2]Country populations'!AS22)</f>
        <v>2692</v>
      </c>
      <c r="Y21" s="40" t="str">
        <f t="shared" si="3"/>
        <v>Benin</v>
      </c>
      <c r="Z21" s="40">
        <f>IF([2]Setup!$B$21=[2]Setup!$V$19,'[2]Country populations'!AT22,'[2]Country populations'!BE22)</f>
        <v>3896</v>
      </c>
      <c r="AA21" s="40">
        <f>IF([2]Setup!$B$21=[2]Setup!$V$19,'[2]Country populations'!AU22,'[2]Country populations'!BF22)</f>
        <v>3762</v>
      </c>
      <c r="AB21" s="40">
        <f>IF([2]Setup!$B$21=[2]Setup!$V$19,'[2]Country populations'!AV22,'[2]Country populations'!BG22)</f>
        <v>3604</v>
      </c>
      <c r="AC21" s="40">
        <f>IF([2]Setup!$B$21=[2]Setup!$V$19,'[2]Country populations'!AW22,'[2]Country populations'!BH22)</f>
        <v>3460</v>
      </c>
      <c r="AD21" s="40">
        <f>IF([2]Setup!$B$21=[2]Setup!$V$19,'[2]Country populations'!AX22,'[2]Country populations'!BI22)</f>
        <v>3349</v>
      </c>
      <c r="AE21" s="40">
        <f>IF([2]Setup!$B$21=[2]Setup!$V$19,'[2]Country populations'!AY22,'[2]Country populations'!BJ22)</f>
        <v>3251</v>
      </c>
      <c r="AF21" s="40">
        <f>IF([2]Setup!$B$21=[2]Setup!$V$19,'[2]Country populations'!AZ22,'[2]Country populations'!BK22)</f>
        <v>3142</v>
      </c>
      <c r="AG21" s="40">
        <f>IF([2]Setup!$B$21=[2]Setup!$V$19,'[2]Country populations'!BA22,'[2]Country populations'!BL22)</f>
        <v>3021</v>
      </c>
      <c r="AH21" s="40">
        <f>IF([2]Setup!$B$21=[2]Setup!$V$19,'[2]Country populations'!BB22,'[2]Country populations'!BM22)</f>
        <v>2906</v>
      </c>
      <c r="AI21" s="40">
        <f>IF([2]Setup!$B$21=[2]Setup!$V$19,'[2]Country populations'!BC22,'[2]Country populations'!BN22)</f>
        <v>2798</v>
      </c>
      <c r="AJ21" s="40">
        <f>IF([2]Setup!$B$21=[2]Setup!$V$19,'[2]Country populations'!BD22,'[2]Country populations'!BO22)</f>
        <v>2697</v>
      </c>
    </row>
    <row r="22" spans="1:36" x14ac:dyDescent="0.25">
      <c r="A22" t="str">
        <f>'[2]Country populations'!A23</f>
        <v>Bhutan</v>
      </c>
      <c r="B22" s="40">
        <f>IF([2]Setup!$B$19=[2]Setup!$T$19,'[2]Country populations'!B23,'[2]Country populations'!M23)</f>
        <v>747</v>
      </c>
      <c r="C22" s="40">
        <f>IF([2]Setup!$B$19=[2]Setup!$T$19,'[2]Country populations'!C23,'[2]Country populations'!N23)</f>
        <v>781</v>
      </c>
      <c r="D22" s="40">
        <f>IF([2]Setup!$B$19=[2]Setup!$T$19,'[2]Country populations'!D23,'[2]Country populations'!O23)</f>
        <v>809</v>
      </c>
      <c r="E22" s="40">
        <f>IF([2]Setup!$B$19=[2]Setup!$T$19,'[2]Country populations'!E23,'[2]Country populations'!P23)</f>
        <v>832</v>
      </c>
      <c r="F22" s="40">
        <f>IF([2]Setup!$B$19=[2]Setup!$T$19,'[2]Country populations'!F23,'[2]Country populations'!Q23)</f>
        <v>849</v>
      </c>
      <c r="G22" s="40">
        <f>IF([2]Setup!$B$19=[2]Setup!$T$19,'[2]Country populations'!G23,'[2]Country populations'!R23)</f>
        <v>862</v>
      </c>
      <c r="H22" s="40">
        <f>IF([2]Setup!$B$19=[2]Setup!$T$19,'[2]Country populations'!H23,'[2]Country populations'!S23)</f>
        <v>873</v>
      </c>
      <c r="I22" s="40">
        <f>IF([2]Setup!$B$19=[2]Setup!$T$19,'[2]Country populations'!I23,'[2]Country populations'!T23)</f>
        <v>883</v>
      </c>
      <c r="J22" s="40">
        <f>IF([2]Setup!$B$19=[2]Setup!$T$19,'[2]Country populations'!J23,'[2]Country populations'!U23)</f>
        <v>892</v>
      </c>
      <c r="K22" s="40">
        <f>IF([2]Setup!$B$19=[2]Setup!$T$19,'[2]Country populations'!K23,'[2]Country populations'!V23)</f>
        <v>900</v>
      </c>
      <c r="L22" s="40">
        <f>IF([2]Setup!$B$19=[2]Setup!$T$19,'[2]Country populations'!L23,'[2]Country populations'!W23)</f>
        <v>908</v>
      </c>
      <c r="M22" s="40" t="str">
        <f t="shared" si="2"/>
        <v>Bhutan</v>
      </c>
      <c r="N22" s="40">
        <f>IF([2]Setup!$B$20=[2]Setup!$U$19,'[2]Country populations'!X23,'[2]Country populations'!AI23)</f>
        <v>68</v>
      </c>
      <c r="O22" s="40">
        <f>IF([2]Setup!$B$20=[2]Setup!$U$19,'[2]Country populations'!Y23,'[2]Country populations'!AJ23)</f>
        <v>71</v>
      </c>
      <c r="P22" s="40">
        <f>IF([2]Setup!$B$20=[2]Setup!$U$19,'[2]Country populations'!Z23,'[2]Country populations'!AK23)</f>
        <v>74</v>
      </c>
      <c r="Q22" s="40">
        <f>IF([2]Setup!$B$20=[2]Setup!$U$19,'[2]Country populations'!AA23,'[2]Country populations'!AL23)</f>
        <v>77</v>
      </c>
      <c r="R22" s="40">
        <f>IF([2]Setup!$B$20=[2]Setup!$U$19,'[2]Country populations'!AB23,'[2]Country populations'!AM23)</f>
        <v>80</v>
      </c>
      <c r="S22" s="40">
        <f>IF([2]Setup!$B$20=[2]Setup!$U$19,'[2]Country populations'!AC23,'[2]Country populations'!AN23)</f>
        <v>82</v>
      </c>
      <c r="T22" s="40">
        <f>IF([2]Setup!$B$20=[2]Setup!$U$19,'[2]Country populations'!AD23,'[2]Country populations'!AO23)</f>
        <v>83</v>
      </c>
      <c r="U22" s="40">
        <f>IF([2]Setup!$B$20=[2]Setup!$U$19,'[2]Country populations'!AE23,'[2]Country populations'!AP23)</f>
        <v>84</v>
      </c>
      <c r="V22" s="40">
        <f>IF([2]Setup!$B$20=[2]Setup!$U$19,'[2]Country populations'!AF23,'[2]Country populations'!AQ23)</f>
        <v>85</v>
      </c>
      <c r="W22" s="40">
        <f>IF([2]Setup!$B$20=[2]Setup!$U$19,'[2]Country populations'!AG23,'[2]Country populations'!AR23)</f>
        <v>85</v>
      </c>
      <c r="X22" s="40">
        <f>IF([2]Setup!$B$20=[2]Setup!$U$19,'[2]Country populations'!AH23,'[2]Country populations'!AS23)</f>
        <v>85</v>
      </c>
      <c r="Y22" s="40" t="str">
        <f t="shared" si="3"/>
        <v>Bhutan</v>
      </c>
      <c r="Z22" s="40">
        <f>IF([2]Setup!$B$21=[2]Setup!$V$19,'[2]Country populations'!AT23,'[2]Country populations'!BE23)</f>
        <v>27</v>
      </c>
      <c r="AA22" s="40">
        <f>IF([2]Setup!$B$21=[2]Setup!$V$19,'[2]Country populations'!AU23,'[2]Country populations'!BF23)</f>
        <v>27</v>
      </c>
      <c r="AB22" s="40">
        <f>IF([2]Setup!$B$21=[2]Setup!$V$19,'[2]Country populations'!AV23,'[2]Country populations'!BG23)</f>
        <v>27</v>
      </c>
      <c r="AC22" s="40">
        <f>IF([2]Setup!$B$21=[2]Setup!$V$19,'[2]Country populations'!AW23,'[2]Country populations'!BH23)</f>
        <v>27</v>
      </c>
      <c r="AD22" s="40">
        <f>IF([2]Setup!$B$21=[2]Setup!$V$19,'[2]Country populations'!AX23,'[2]Country populations'!BI23)</f>
        <v>27</v>
      </c>
      <c r="AE22" s="40">
        <f>IF([2]Setup!$B$21=[2]Setup!$V$19,'[2]Country populations'!AY23,'[2]Country populations'!BJ23)</f>
        <v>27</v>
      </c>
      <c r="AF22" s="40">
        <f>IF([2]Setup!$B$21=[2]Setup!$V$19,'[2]Country populations'!AZ23,'[2]Country populations'!BK23)</f>
        <v>27</v>
      </c>
      <c r="AG22" s="40">
        <f>IF([2]Setup!$B$21=[2]Setup!$V$19,'[2]Country populations'!BA23,'[2]Country populations'!BL23)</f>
        <v>27</v>
      </c>
      <c r="AH22" s="40">
        <f>IF([2]Setup!$B$21=[2]Setup!$V$19,'[2]Country populations'!BB23,'[2]Country populations'!BM23)</f>
        <v>26</v>
      </c>
      <c r="AI22" s="40">
        <f>IF([2]Setup!$B$21=[2]Setup!$V$19,'[2]Country populations'!BC23,'[2]Country populations'!BN23)</f>
        <v>26</v>
      </c>
      <c r="AJ22" s="40">
        <f>IF([2]Setup!$B$21=[2]Setup!$V$19,'[2]Country populations'!BD23,'[2]Country populations'!BO23)</f>
        <v>26</v>
      </c>
    </row>
    <row r="23" spans="1:36" x14ac:dyDescent="0.25">
      <c r="A23" t="str">
        <f>'[2]Country populations'!A24</f>
        <v>Bolivia</v>
      </c>
      <c r="B23" s="40">
        <f>IF([2]Setup!$B$19=[2]Setup!$T$19,'[2]Country populations'!B24,'[2]Country populations'!M24)</f>
        <v>16361</v>
      </c>
      <c r="C23" s="40">
        <f>IF([2]Setup!$B$19=[2]Setup!$T$19,'[2]Country populations'!C24,'[2]Country populations'!N24)</f>
        <v>16564</v>
      </c>
      <c r="D23" s="40">
        <f>IF([2]Setup!$B$19=[2]Setup!$T$19,'[2]Country populations'!D24,'[2]Country populations'!O24)</f>
        <v>16797</v>
      </c>
      <c r="E23" s="40">
        <f>IF([2]Setup!$B$19=[2]Setup!$T$19,'[2]Country populations'!E24,'[2]Country populations'!P24)</f>
        <v>17058</v>
      </c>
      <c r="F23" s="40">
        <f>IF([2]Setup!$B$19=[2]Setup!$T$19,'[2]Country populations'!F24,'[2]Country populations'!Q24)</f>
        <v>17348</v>
      </c>
      <c r="G23" s="40">
        <f>IF([2]Setup!$B$19=[2]Setup!$T$19,'[2]Country populations'!G24,'[2]Country populations'!R24)</f>
        <v>17663</v>
      </c>
      <c r="H23" s="40">
        <f>IF([2]Setup!$B$19=[2]Setup!$T$19,'[2]Country populations'!H24,'[2]Country populations'!S24)</f>
        <v>17976</v>
      </c>
      <c r="I23" s="40">
        <f>IF([2]Setup!$B$19=[2]Setup!$T$19,'[2]Country populations'!I24,'[2]Country populations'!T24)</f>
        <v>18272</v>
      </c>
      <c r="J23" s="40">
        <f>IF([2]Setup!$B$19=[2]Setup!$T$19,'[2]Country populations'!J24,'[2]Country populations'!U24)</f>
        <v>18558</v>
      </c>
      <c r="K23" s="40">
        <f>IF([2]Setup!$B$19=[2]Setup!$T$19,'[2]Country populations'!K24,'[2]Country populations'!V24)</f>
        <v>18834</v>
      </c>
      <c r="L23" s="40">
        <f>IF([2]Setup!$B$19=[2]Setup!$T$19,'[2]Country populations'!L24,'[2]Country populations'!W24)</f>
        <v>19100</v>
      </c>
      <c r="M23" s="40" t="str">
        <f t="shared" si="2"/>
        <v>Bolivia</v>
      </c>
      <c r="N23" s="40">
        <f>IF([2]Setup!$B$20=[2]Setup!$U$19,'[2]Country populations'!X24,'[2]Country populations'!AI24)</f>
        <v>722</v>
      </c>
      <c r="O23" s="40">
        <f>IF([2]Setup!$B$20=[2]Setup!$U$19,'[2]Country populations'!Y24,'[2]Country populations'!AJ24)</f>
        <v>642</v>
      </c>
      <c r="P23" s="40">
        <f>IF([2]Setup!$B$20=[2]Setup!$U$19,'[2]Country populations'!Z24,'[2]Country populations'!AK24)</f>
        <v>564</v>
      </c>
      <c r="Q23" s="40">
        <f>IF([2]Setup!$B$20=[2]Setup!$U$19,'[2]Country populations'!AA24,'[2]Country populations'!AL24)</f>
        <v>496</v>
      </c>
      <c r="R23" s="40">
        <f>IF([2]Setup!$B$20=[2]Setup!$U$19,'[2]Country populations'!AB24,'[2]Country populations'!AM24)</f>
        <v>435</v>
      </c>
      <c r="S23" s="40">
        <f>IF([2]Setup!$B$20=[2]Setup!$U$19,'[2]Country populations'!AC24,'[2]Country populations'!AN24)</f>
        <v>381</v>
      </c>
      <c r="T23" s="40">
        <f>IF([2]Setup!$B$20=[2]Setup!$U$19,'[2]Country populations'!AD24,'[2]Country populations'!AO24)</f>
        <v>331</v>
      </c>
      <c r="U23" s="40">
        <f>IF([2]Setup!$B$20=[2]Setup!$U$19,'[2]Country populations'!AE24,'[2]Country populations'!AP24)</f>
        <v>285</v>
      </c>
      <c r="V23" s="40">
        <f>IF([2]Setup!$B$20=[2]Setup!$U$19,'[2]Country populations'!AF24,'[2]Country populations'!AQ24)</f>
        <v>241</v>
      </c>
      <c r="W23" s="40">
        <f>IF([2]Setup!$B$20=[2]Setup!$U$19,'[2]Country populations'!AG24,'[2]Country populations'!AR24)</f>
        <v>201</v>
      </c>
      <c r="X23" s="40">
        <f>IF([2]Setup!$B$20=[2]Setup!$U$19,'[2]Country populations'!AH24,'[2]Country populations'!AS24)</f>
        <v>168</v>
      </c>
      <c r="Y23" s="40" t="str">
        <f t="shared" si="3"/>
        <v>Bolivia</v>
      </c>
      <c r="Z23" s="40">
        <f>IF([2]Setup!$B$21=[2]Setup!$V$19,'[2]Country populations'!AT24,'[2]Country populations'!BE24)</f>
        <v>316</v>
      </c>
      <c r="AA23" s="40">
        <f>IF([2]Setup!$B$21=[2]Setup!$V$19,'[2]Country populations'!AU24,'[2]Country populations'!BF24)</f>
        <v>317</v>
      </c>
      <c r="AB23" s="40">
        <f>IF([2]Setup!$B$21=[2]Setup!$V$19,'[2]Country populations'!AV24,'[2]Country populations'!BG24)</f>
        <v>318</v>
      </c>
      <c r="AC23" s="40">
        <f>IF([2]Setup!$B$21=[2]Setup!$V$19,'[2]Country populations'!AW24,'[2]Country populations'!BH24)</f>
        <v>320</v>
      </c>
      <c r="AD23" s="40">
        <f>IF([2]Setup!$B$21=[2]Setup!$V$19,'[2]Country populations'!AX24,'[2]Country populations'!BI24)</f>
        <v>321</v>
      </c>
      <c r="AE23" s="40">
        <f>IF([2]Setup!$B$21=[2]Setup!$V$19,'[2]Country populations'!AY24,'[2]Country populations'!BJ24)</f>
        <v>322</v>
      </c>
      <c r="AF23" s="40">
        <f>IF([2]Setup!$B$21=[2]Setup!$V$19,'[2]Country populations'!AZ24,'[2]Country populations'!BK24)</f>
        <v>323</v>
      </c>
      <c r="AG23" s="40">
        <f>IF([2]Setup!$B$21=[2]Setup!$V$19,'[2]Country populations'!BA24,'[2]Country populations'!BL24)</f>
        <v>322</v>
      </c>
      <c r="AH23" s="40">
        <f>IF([2]Setup!$B$21=[2]Setup!$V$19,'[2]Country populations'!BB24,'[2]Country populations'!BM24)</f>
        <v>320</v>
      </c>
      <c r="AI23" s="40">
        <f>IF([2]Setup!$B$21=[2]Setup!$V$19,'[2]Country populations'!BC24,'[2]Country populations'!BN24)</f>
        <v>318</v>
      </c>
      <c r="AJ23" s="40">
        <f>IF([2]Setup!$B$21=[2]Setup!$V$19,'[2]Country populations'!BD24,'[2]Country populations'!BO24)</f>
        <v>315</v>
      </c>
    </row>
    <row r="24" spans="1:36" x14ac:dyDescent="0.25">
      <c r="A24" t="str">
        <f>'[2]Country populations'!A25</f>
        <v>Bosnia and Herzegovina</v>
      </c>
      <c r="B24" s="40">
        <f>IF([2]Setup!$B$19=[2]Setup!$T$19,'[2]Country populations'!B25,'[2]Country populations'!M25)</f>
        <v>334</v>
      </c>
      <c r="C24" s="40">
        <f>IF([2]Setup!$B$19=[2]Setup!$T$19,'[2]Country populations'!C25,'[2]Country populations'!N25)</f>
        <v>383</v>
      </c>
      <c r="D24" s="40">
        <f>IF([2]Setup!$B$19=[2]Setup!$T$19,'[2]Country populations'!D25,'[2]Country populations'!O25)</f>
        <v>430</v>
      </c>
      <c r="E24" s="40">
        <f>IF([2]Setup!$B$19=[2]Setup!$T$19,'[2]Country populations'!E25,'[2]Country populations'!P25)</f>
        <v>475</v>
      </c>
      <c r="F24" s="40">
        <f>IF([2]Setup!$B$19=[2]Setup!$T$19,'[2]Country populations'!F25,'[2]Country populations'!Q25)</f>
        <v>518</v>
      </c>
      <c r="G24" s="40">
        <f>IF([2]Setup!$B$19=[2]Setup!$T$19,'[2]Country populations'!G25,'[2]Country populations'!R25)</f>
        <v>561</v>
      </c>
      <c r="H24" s="40">
        <f>IF([2]Setup!$B$19=[2]Setup!$T$19,'[2]Country populations'!H25,'[2]Country populations'!S25)</f>
        <v>598</v>
      </c>
      <c r="I24" s="40">
        <f>IF([2]Setup!$B$19=[2]Setup!$T$19,'[2]Country populations'!I25,'[2]Country populations'!T25)</f>
        <v>630</v>
      </c>
      <c r="J24" s="40">
        <f>IF([2]Setup!$B$19=[2]Setup!$T$19,'[2]Country populations'!J25,'[2]Country populations'!U25)</f>
        <v>657</v>
      </c>
      <c r="K24" s="40">
        <f>IF([2]Setup!$B$19=[2]Setup!$T$19,'[2]Country populations'!K25,'[2]Country populations'!V25)</f>
        <v>680</v>
      </c>
      <c r="L24" s="40">
        <f>IF([2]Setup!$B$19=[2]Setup!$T$19,'[2]Country populations'!L25,'[2]Country populations'!W25)</f>
        <v>699</v>
      </c>
      <c r="M24" s="40" t="str">
        <f t="shared" si="2"/>
        <v>Bosnia and Herzegovina</v>
      </c>
      <c r="N24" s="40">
        <f>IF([2]Setup!$B$20=[2]Setup!$U$19,'[2]Country populations'!X25,'[2]Country populations'!AI25)</f>
        <v>4</v>
      </c>
      <c r="O24" s="40">
        <f>IF([2]Setup!$B$20=[2]Setup!$U$19,'[2]Country populations'!Y25,'[2]Country populations'!AJ25)</f>
        <v>4</v>
      </c>
      <c r="P24" s="40">
        <f>IF([2]Setup!$B$20=[2]Setup!$U$19,'[2]Country populations'!Z25,'[2]Country populations'!AK25)</f>
        <v>5</v>
      </c>
      <c r="Q24" s="40">
        <f>IF([2]Setup!$B$20=[2]Setup!$U$19,'[2]Country populations'!AA25,'[2]Country populations'!AL25)</f>
        <v>6</v>
      </c>
      <c r="R24" s="40">
        <f>IF([2]Setup!$B$20=[2]Setup!$U$19,'[2]Country populations'!AB25,'[2]Country populations'!AM25)</f>
        <v>7</v>
      </c>
      <c r="S24" s="40">
        <f>IF([2]Setup!$B$20=[2]Setup!$U$19,'[2]Country populations'!AC25,'[2]Country populations'!AN25)</f>
        <v>8</v>
      </c>
      <c r="T24" s="40">
        <f>IF([2]Setup!$B$20=[2]Setup!$U$19,'[2]Country populations'!AD25,'[2]Country populations'!AO25)</f>
        <v>9</v>
      </c>
      <c r="U24" s="40">
        <f>IF([2]Setup!$B$20=[2]Setup!$U$19,'[2]Country populations'!AE25,'[2]Country populations'!AP25)</f>
        <v>10</v>
      </c>
      <c r="V24" s="40">
        <f>IF([2]Setup!$B$20=[2]Setup!$U$19,'[2]Country populations'!AF25,'[2]Country populations'!AQ25)</f>
        <v>11</v>
      </c>
      <c r="W24" s="40">
        <f>IF([2]Setup!$B$20=[2]Setup!$U$19,'[2]Country populations'!AG25,'[2]Country populations'!AR25)</f>
        <v>12</v>
      </c>
      <c r="X24" s="40">
        <f>IF([2]Setup!$B$20=[2]Setup!$U$19,'[2]Country populations'!AH25,'[2]Country populations'!AS25)</f>
        <v>13</v>
      </c>
      <c r="Y24" s="40" t="str">
        <f t="shared" si="3"/>
        <v>Bosnia and Herzegovina</v>
      </c>
      <c r="Z24" s="40">
        <f>IF([2]Setup!$B$21=[2]Setup!$V$19,'[2]Country populations'!AT25,'[2]Country populations'!BE25)</f>
        <v>2</v>
      </c>
      <c r="AA24" s="40">
        <f>IF([2]Setup!$B$21=[2]Setup!$V$19,'[2]Country populations'!AU25,'[2]Country populations'!BF25)</f>
        <v>3</v>
      </c>
      <c r="AB24" s="40">
        <f>IF([2]Setup!$B$21=[2]Setup!$V$19,'[2]Country populations'!AV25,'[2]Country populations'!BG25)</f>
        <v>3</v>
      </c>
      <c r="AC24" s="40">
        <f>IF([2]Setup!$B$21=[2]Setup!$V$19,'[2]Country populations'!AW25,'[2]Country populations'!BH25)</f>
        <v>4</v>
      </c>
      <c r="AD24" s="40">
        <f>IF([2]Setup!$B$21=[2]Setup!$V$19,'[2]Country populations'!AX25,'[2]Country populations'!BI25)</f>
        <v>4</v>
      </c>
      <c r="AE24" s="40">
        <f>IF([2]Setup!$B$21=[2]Setup!$V$19,'[2]Country populations'!AY25,'[2]Country populations'!BJ25)</f>
        <v>4</v>
      </c>
      <c r="AF24" s="40">
        <f>IF([2]Setup!$B$21=[2]Setup!$V$19,'[2]Country populations'!AZ25,'[2]Country populations'!BK25)</f>
        <v>5</v>
      </c>
      <c r="AG24" s="40">
        <f>IF([2]Setup!$B$21=[2]Setup!$V$19,'[2]Country populations'!BA25,'[2]Country populations'!BL25)</f>
        <v>5</v>
      </c>
      <c r="AH24" s="40">
        <f>IF([2]Setup!$B$21=[2]Setup!$V$19,'[2]Country populations'!BB25,'[2]Country populations'!BM25)</f>
        <v>5</v>
      </c>
      <c r="AI24" s="40">
        <f>IF([2]Setup!$B$21=[2]Setup!$V$19,'[2]Country populations'!BC25,'[2]Country populations'!BN25)</f>
        <v>5</v>
      </c>
      <c r="AJ24" s="40">
        <f>IF([2]Setup!$B$21=[2]Setup!$V$19,'[2]Country populations'!BD25,'[2]Country populations'!BO25)</f>
        <v>6</v>
      </c>
    </row>
    <row r="25" spans="1:36" x14ac:dyDescent="0.25">
      <c r="A25" t="str">
        <f>'[2]Country populations'!A26</f>
        <v>Botswana</v>
      </c>
      <c r="B25" s="40">
        <f>IF([2]Setup!$B$19=[2]Setup!$T$19,'[2]Country populations'!B26,'[2]Country populations'!M26)</f>
        <v>328916</v>
      </c>
      <c r="C25" s="40">
        <f>IF([2]Setup!$B$19=[2]Setup!$T$19,'[2]Country populations'!C26,'[2]Country populations'!N26)</f>
        <v>330807</v>
      </c>
      <c r="D25" s="40">
        <f>IF([2]Setup!$B$19=[2]Setup!$T$19,'[2]Country populations'!D26,'[2]Country populations'!O26)</f>
        <v>332115</v>
      </c>
      <c r="E25" s="40">
        <f>IF([2]Setup!$B$19=[2]Setup!$T$19,'[2]Country populations'!E26,'[2]Country populations'!P26)</f>
        <v>333003</v>
      </c>
      <c r="F25" s="40">
        <f>IF([2]Setup!$B$19=[2]Setup!$T$19,'[2]Country populations'!F26,'[2]Country populations'!Q26)</f>
        <v>333273</v>
      </c>
      <c r="G25" s="40">
        <f>IF([2]Setup!$B$19=[2]Setup!$T$19,'[2]Country populations'!G26,'[2]Country populations'!R26)</f>
        <v>332995</v>
      </c>
      <c r="H25" s="40">
        <f>IF([2]Setup!$B$19=[2]Setup!$T$19,'[2]Country populations'!H26,'[2]Country populations'!S26)</f>
        <v>332593</v>
      </c>
      <c r="I25" s="40">
        <f>IF([2]Setup!$B$19=[2]Setup!$T$19,'[2]Country populations'!I26,'[2]Country populations'!T26)</f>
        <v>332134</v>
      </c>
      <c r="J25" s="40">
        <f>IF([2]Setup!$B$19=[2]Setup!$T$19,'[2]Country populations'!J26,'[2]Country populations'!U26)</f>
        <v>331619</v>
      </c>
      <c r="K25" s="40">
        <f>IF([2]Setup!$B$19=[2]Setup!$T$19,'[2]Country populations'!K26,'[2]Country populations'!V26)</f>
        <v>331017</v>
      </c>
      <c r="L25" s="40">
        <f>IF([2]Setup!$B$19=[2]Setup!$T$19,'[2]Country populations'!L26,'[2]Country populations'!W26)</f>
        <v>330285</v>
      </c>
      <c r="M25" s="40" t="str">
        <f t="shared" si="2"/>
        <v>Botswana</v>
      </c>
      <c r="N25" s="40">
        <f>IF([2]Setup!$B$20=[2]Setup!$U$19,'[2]Country populations'!X26,'[2]Country populations'!AI26)</f>
        <v>22128</v>
      </c>
      <c r="O25" s="40">
        <f>IF([2]Setup!$B$20=[2]Setup!$U$19,'[2]Country populations'!Y26,'[2]Country populations'!AJ26)</f>
        <v>22179</v>
      </c>
      <c r="P25" s="40">
        <f>IF([2]Setup!$B$20=[2]Setup!$U$19,'[2]Country populations'!Z26,'[2]Country populations'!AK26)</f>
        <v>22035</v>
      </c>
      <c r="Q25" s="40">
        <f>IF([2]Setup!$B$20=[2]Setup!$U$19,'[2]Country populations'!AA26,'[2]Country populations'!AL26)</f>
        <v>21905</v>
      </c>
      <c r="R25" s="40">
        <f>IF([2]Setup!$B$20=[2]Setup!$U$19,'[2]Country populations'!AB26,'[2]Country populations'!AM26)</f>
        <v>21826</v>
      </c>
      <c r="S25" s="40">
        <f>IF([2]Setup!$B$20=[2]Setup!$U$19,'[2]Country populations'!AC26,'[2]Country populations'!AN26)</f>
        <v>21749</v>
      </c>
      <c r="T25" s="40">
        <f>IF([2]Setup!$B$20=[2]Setup!$U$19,'[2]Country populations'!AD26,'[2]Country populations'!AO26)</f>
        <v>21383</v>
      </c>
      <c r="U25" s="40">
        <f>IF([2]Setup!$B$20=[2]Setup!$U$19,'[2]Country populations'!AE26,'[2]Country populations'!AP26)</f>
        <v>20727</v>
      </c>
      <c r="V25" s="40">
        <f>IF([2]Setup!$B$20=[2]Setup!$U$19,'[2]Country populations'!AF26,'[2]Country populations'!AQ26)</f>
        <v>20075</v>
      </c>
      <c r="W25" s="40">
        <f>IF([2]Setup!$B$20=[2]Setup!$U$19,'[2]Country populations'!AG26,'[2]Country populations'!AR26)</f>
        <v>19437</v>
      </c>
      <c r="X25" s="40">
        <f>IF([2]Setup!$B$20=[2]Setup!$U$19,'[2]Country populations'!AH26,'[2]Country populations'!AS26)</f>
        <v>18919</v>
      </c>
      <c r="Y25" s="40" t="str">
        <f t="shared" si="3"/>
        <v>Botswana</v>
      </c>
      <c r="Z25" s="40">
        <f>IF([2]Setup!$B$21=[2]Setup!$V$19,'[2]Country populations'!AT26,'[2]Country populations'!BE26)</f>
        <v>10863</v>
      </c>
      <c r="AA25" s="40">
        <f>IF([2]Setup!$B$21=[2]Setup!$V$19,'[2]Country populations'!AU26,'[2]Country populations'!BF26)</f>
        <v>10281</v>
      </c>
      <c r="AB25" s="40">
        <f>IF([2]Setup!$B$21=[2]Setup!$V$19,'[2]Country populations'!AV26,'[2]Country populations'!BG26)</f>
        <v>9682</v>
      </c>
      <c r="AC25" s="40">
        <f>IF([2]Setup!$B$21=[2]Setup!$V$19,'[2]Country populations'!AW26,'[2]Country populations'!BH26)</f>
        <v>9084</v>
      </c>
      <c r="AD25" s="40">
        <f>IF([2]Setup!$B$21=[2]Setup!$V$19,'[2]Country populations'!AX26,'[2]Country populations'!BI26)</f>
        <v>8499</v>
      </c>
      <c r="AE25" s="40">
        <f>IF([2]Setup!$B$21=[2]Setup!$V$19,'[2]Country populations'!AY26,'[2]Country populations'!BJ26)</f>
        <v>7942</v>
      </c>
      <c r="AF25" s="40">
        <f>IF([2]Setup!$B$21=[2]Setup!$V$19,'[2]Country populations'!AZ26,'[2]Country populations'!BK26)</f>
        <v>7425</v>
      </c>
      <c r="AG25" s="40">
        <f>IF([2]Setup!$B$21=[2]Setup!$V$19,'[2]Country populations'!BA26,'[2]Country populations'!BL26)</f>
        <v>6957</v>
      </c>
      <c r="AH25" s="40">
        <f>IF([2]Setup!$B$21=[2]Setup!$V$19,'[2]Country populations'!BB26,'[2]Country populations'!BM26)</f>
        <v>6537</v>
      </c>
      <c r="AI25" s="40">
        <f>IF([2]Setup!$B$21=[2]Setup!$V$19,'[2]Country populations'!BC26,'[2]Country populations'!BN26)</f>
        <v>6159</v>
      </c>
      <c r="AJ25" s="40">
        <f>IF([2]Setup!$B$21=[2]Setup!$V$19,'[2]Country populations'!BD26,'[2]Country populations'!BO26)</f>
        <v>5819</v>
      </c>
    </row>
    <row r="26" spans="1:36" x14ac:dyDescent="0.25">
      <c r="A26" t="str">
        <f>'[2]Country populations'!A27</f>
        <v>Brazil</v>
      </c>
      <c r="B26" s="40">
        <f>IF([2]Setup!$B$19=[2]Setup!$T$19,'[2]Country populations'!B27,'[2]Country populations'!M27)</f>
        <v>771624</v>
      </c>
      <c r="C26" s="40">
        <f>IF([2]Setup!$B$19=[2]Setup!$T$19,'[2]Country populations'!C27,'[2]Country populations'!N27)</f>
        <v>802255</v>
      </c>
      <c r="D26" s="40">
        <f>IF([2]Setup!$B$19=[2]Setup!$T$19,'[2]Country populations'!D27,'[2]Country populations'!O27)</f>
        <v>836450</v>
      </c>
      <c r="E26" s="40">
        <f>IF([2]Setup!$B$19=[2]Setup!$T$19,'[2]Country populations'!E27,'[2]Country populations'!P27)</f>
        <v>873497</v>
      </c>
      <c r="F26" s="40">
        <f>IF([2]Setup!$B$19=[2]Setup!$T$19,'[2]Country populations'!F27,'[2]Country populations'!Q27)</f>
        <v>926719</v>
      </c>
      <c r="G26" s="40">
        <f>IF([2]Setup!$B$19=[2]Setup!$T$19,'[2]Country populations'!G27,'[2]Country populations'!R27)</f>
        <v>971959</v>
      </c>
      <c r="H26" s="40">
        <f>IF([2]Setup!$B$19=[2]Setup!$T$19,'[2]Country populations'!H27,'[2]Country populations'!S27)</f>
        <v>1016211</v>
      </c>
      <c r="I26" s="40">
        <f>IF([2]Setup!$B$19=[2]Setup!$T$19,'[2]Country populations'!I27,'[2]Country populations'!T27)</f>
        <v>1059379</v>
      </c>
      <c r="J26" s="40">
        <f>IF([2]Setup!$B$19=[2]Setup!$T$19,'[2]Country populations'!J27,'[2]Country populations'!U27)</f>
        <v>1101429</v>
      </c>
      <c r="K26" s="40">
        <f>IF([2]Setup!$B$19=[2]Setup!$T$19,'[2]Country populations'!K27,'[2]Country populations'!V27)</f>
        <v>1142332</v>
      </c>
      <c r="L26" s="40">
        <f>IF([2]Setup!$B$19=[2]Setup!$T$19,'[2]Country populations'!L27,'[2]Country populations'!W27)</f>
        <v>1182042</v>
      </c>
      <c r="M26" s="40" t="str">
        <f t="shared" si="2"/>
        <v>Brazil</v>
      </c>
      <c r="N26" s="40">
        <f>IF([2]Setup!$B$20=[2]Setup!$U$19,'[2]Country populations'!X27,'[2]Country populations'!AI27)</f>
        <v>9128</v>
      </c>
      <c r="O26" s="40">
        <f>IF([2]Setup!$B$20=[2]Setup!$U$19,'[2]Country populations'!Y27,'[2]Country populations'!AJ27)</f>
        <v>7956</v>
      </c>
      <c r="P26" s="40">
        <f>IF([2]Setup!$B$20=[2]Setup!$U$19,'[2]Country populations'!Z27,'[2]Country populations'!AK27)</f>
        <v>7152</v>
      </c>
      <c r="Q26" s="40">
        <f>IF([2]Setup!$B$20=[2]Setup!$U$19,'[2]Country populations'!AA27,'[2]Country populations'!AL27)</f>
        <v>6448</v>
      </c>
      <c r="R26" s="40">
        <f>IF([2]Setup!$B$20=[2]Setup!$U$19,'[2]Country populations'!AB27,'[2]Country populations'!AM27)</f>
        <v>5890</v>
      </c>
      <c r="S26" s="40">
        <f>IF([2]Setup!$B$20=[2]Setup!$U$19,'[2]Country populations'!AC27,'[2]Country populations'!AN27)</f>
        <v>5404</v>
      </c>
      <c r="T26" s="40">
        <f>IF([2]Setup!$B$20=[2]Setup!$U$19,'[2]Country populations'!AD27,'[2]Country populations'!AO27)</f>
        <v>5117</v>
      </c>
      <c r="U26" s="40">
        <f>IF([2]Setup!$B$20=[2]Setup!$U$19,'[2]Country populations'!AE27,'[2]Country populations'!AP27)</f>
        <v>4941</v>
      </c>
      <c r="V26" s="40">
        <f>IF([2]Setup!$B$20=[2]Setup!$U$19,'[2]Country populations'!AF27,'[2]Country populations'!AQ27)</f>
        <v>4821</v>
      </c>
      <c r="W26" s="40">
        <f>IF([2]Setup!$B$20=[2]Setup!$U$19,'[2]Country populations'!AG27,'[2]Country populations'!AR27)</f>
        <v>4723</v>
      </c>
      <c r="X26" s="40">
        <f>IF([2]Setup!$B$20=[2]Setup!$U$19,'[2]Country populations'!AH27,'[2]Country populations'!AS27)</f>
        <v>4633</v>
      </c>
      <c r="Y26" s="40" t="str">
        <f t="shared" si="3"/>
        <v>Brazil</v>
      </c>
      <c r="Z26" s="40">
        <f>IF([2]Setup!$B$21=[2]Setup!$V$19,'[2]Country populations'!AT27,'[2]Country populations'!BE27)</f>
        <v>4710</v>
      </c>
      <c r="AA26" s="40">
        <f>IF([2]Setup!$B$21=[2]Setup!$V$19,'[2]Country populations'!AU27,'[2]Country populations'!BF27)</f>
        <v>4614</v>
      </c>
      <c r="AB26" s="40">
        <f>IF([2]Setup!$B$21=[2]Setup!$V$19,'[2]Country populations'!AV27,'[2]Country populations'!BG27)</f>
        <v>4519</v>
      </c>
      <c r="AC26" s="40">
        <f>IF([2]Setup!$B$21=[2]Setup!$V$19,'[2]Country populations'!AW27,'[2]Country populations'!BH27)</f>
        <v>4441</v>
      </c>
      <c r="AD26" s="40">
        <f>IF([2]Setup!$B$21=[2]Setup!$V$19,'[2]Country populations'!AX27,'[2]Country populations'!BI27)</f>
        <v>4408</v>
      </c>
      <c r="AE26" s="40">
        <f>IF([2]Setup!$B$21=[2]Setup!$V$19,'[2]Country populations'!AY27,'[2]Country populations'!BJ27)</f>
        <v>4387</v>
      </c>
      <c r="AF26" s="40">
        <f>IF([2]Setup!$B$21=[2]Setup!$V$19,'[2]Country populations'!AZ27,'[2]Country populations'!BK27)</f>
        <v>4337</v>
      </c>
      <c r="AG26" s="40">
        <f>IF([2]Setup!$B$21=[2]Setup!$V$19,'[2]Country populations'!BA27,'[2]Country populations'!BL27)</f>
        <v>4284</v>
      </c>
      <c r="AH26" s="40">
        <f>IF([2]Setup!$B$21=[2]Setup!$V$19,'[2]Country populations'!BB27,'[2]Country populations'!BM27)</f>
        <v>4229</v>
      </c>
      <c r="AI26" s="40">
        <f>IF([2]Setup!$B$21=[2]Setup!$V$19,'[2]Country populations'!BC27,'[2]Country populations'!BN27)</f>
        <v>4174</v>
      </c>
      <c r="AJ26" s="40">
        <f>IF([2]Setup!$B$21=[2]Setup!$V$19,'[2]Country populations'!BD27,'[2]Country populations'!BO27)</f>
        <v>4120</v>
      </c>
    </row>
    <row r="27" spans="1:36" x14ac:dyDescent="0.25">
      <c r="A27" t="str">
        <f>'[2]Country populations'!A28</f>
        <v>Brunei Darussalam</v>
      </c>
      <c r="B27" s="40">
        <f>IF([2]Setup!$B$19=[2]Setup!$T$19,'[2]Country populations'!B28,'[2]Country populations'!M28)</f>
        <v>0</v>
      </c>
      <c r="C27" s="40">
        <f>IF([2]Setup!$B$19=[2]Setup!$T$19,'[2]Country populations'!C28,'[2]Country populations'!N28)</f>
        <v>0</v>
      </c>
      <c r="D27" s="40">
        <f>IF([2]Setup!$B$19=[2]Setup!$T$19,'[2]Country populations'!D28,'[2]Country populations'!O28)</f>
        <v>0</v>
      </c>
      <c r="E27" s="40">
        <f>IF([2]Setup!$B$19=[2]Setup!$T$19,'[2]Country populations'!E28,'[2]Country populations'!P28)</f>
        <v>0</v>
      </c>
      <c r="F27" s="40">
        <f>IF([2]Setup!$B$19=[2]Setup!$T$19,'[2]Country populations'!F28,'[2]Country populations'!Q28)</f>
        <v>0</v>
      </c>
      <c r="G27" s="40">
        <f>IF([2]Setup!$B$19=[2]Setup!$T$19,'[2]Country populations'!G28,'[2]Country populations'!R28)</f>
        <v>0</v>
      </c>
      <c r="H27" s="40">
        <f>IF([2]Setup!$B$19=[2]Setup!$T$19,'[2]Country populations'!H28,'[2]Country populations'!S28)</f>
        <v>0</v>
      </c>
      <c r="I27" s="40">
        <f>IF([2]Setup!$B$19=[2]Setup!$T$19,'[2]Country populations'!I28,'[2]Country populations'!T28)</f>
        <v>0</v>
      </c>
      <c r="J27" s="40">
        <f>IF([2]Setup!$B$19=[2]Setup!$T$19,'[2]Country populations'!J28,'[2]Country populations'!U28)</f>
        <v>0</v>
      </c>
      <c r="K27" s="40">
        <f>IF([2]Setup!$B$19=[2]Setup!$T$19,'[2]Country populations'!K28,'[2]Country populations'!V28)</f>
        <v>0</v>
      </c>
      <c r="L27" s="40">
        <f>IF([2]Setup!$B$19=[2]Setup!$T$19,'[2]Country populations'!L28,'[2]Country populations'!W28)</f>
        <v>0</v>
      </c>
      <c r="M27" s="40" t="str">
        <f t="shared" si="2"/>
        <v>Brunei Darussalam</v>
      </c>
      <c r="N27" s="40">
        <f>IF([2]Setup!$B$20=[2]Setup!$U$19,'[2]Country populations'!X28,'[2]Country populations'!AI28)</f>
        <v>0</v>
      </c>
      <c r="O27" s="40">
        <f>IF([2]Setup!$B$20=[2]Setup!$U$19,'[2]Country populations'!Y28,'[2]Country populations'!AJ28)</f>
        <v>0</v>
      </c>
      <c r="P27" s="40">
        <f>IF([2]Setup!$B$20=[2]Setup!$U$19,'[2]Country populations'!Z28,'[2]Country populations'!AK28)</f>
        <v>0</v>
      </c>
      <c r="Q27" s="40">
        <f>IF([2]Setup!$B$20=[2]Setup!$U$19,'[2]Country populations'!AA28,'[2]Country populations'!AL28)</f>
        <v>0</v>
      </c>
      <c r="R27" s="40">
        <f>IF([2]Setup!$B$20=[2]Setup!$U$19,'[2]Country populations'!AB28,'[2]Country populations'!AM28)</f>
        <v>0</v>
      </c>
      <c r="S27" s="40">
        <f>IF([2]Setup!$B$20=[2]Setup!$U$19,'[2]Country populations'!AC28,'[2]Country populations'!AN28)</f>
        <v>0</v>
      </c>
      <c r="T27" s="40">
        <f>IF([2]Setup!$B$20=[2]Setup!$U$19,'[2]Country populations'!AD28,'[2]Country populations'!AO28)</f>
        <v>0</v>
      </c>
      <c r="U27" s="40">
        <f>IF([2]Setup!$B$20=[2]Setup!$U$19,'[2]Country populations'!AE28,'[2]Country populations'!AP28)</f>
        <v>0</v>
      </c>
      <c r="V27" s="40">
        <f>IF([2]Setup!$B$20=[2]Setup!$U$19,'[2]Country populations'!AF28,'[2]Country populations'!AQ28)</f>
        <v>0</v>
      </c>
      <c r="W27" s="40">
        <f>IF([2]Setup!$B$20=[2]Setup!$U$19,'[2]Country populations'!AG28,'[2]Country populations'!AR28)</f>
        <v>0</v>
      </c>
      <c r="X27" s="40">
        <f>IF([2]Setup!$B$20=[2]Setup!$U$19,'[2]Country populations'!AH28,'[2]Country populations'!AS28)</f>
        <v>0</v>
      </c>
      <c r="Y27" s="40" t="str">
        <f t="shared" si="3"/>
        <v>Brunei Darussalam</v>
      </c>
      <c r="Z27" s="40">
        <f>IF([2]Setup!$B$21=[2]Setup!$V$19,'[2]Country populations'!AT28,'[2]Country populations'!BE28)</f>
        <v>0</v>
      </c>
      <c r="AA27" s="40">
        <f>IF([2]Setup!$B$21=[2]Setup!$V$19,'[2]Country populations'!AU28,'[2]Country populations'!BF28)</f>
        <v>0</v>
      </c>
      <c r="AB27" s="40">
        <f>IF([2]Setup!$B$21=[2]Setup!$V$19,'[2]Country populations'!AV28,'[2]Country populations'!BG28)</f>
        <v>0</v>
      </c>
      <c r="AC27" s="40">
        <f>IF([2]Setup!$B$21=[2]Setup!$V$19,'[2]Country populations'!AW28,'[2]Country populations'!BH28)</f>
        <v>0</v>
      </c>
      <c r="AD27" s="40">
        <f>IF([2]Setup!$B$21=[2]Setup!$V$19,'[2]Country populations'!AX28,'[2]Country populations'!BI28)</f>
        <v>0</v>
      </c>
      <c r="AE27" s="40">
        <f>IF([2]Setup!$B$21=[2]Setup!$V$19,'[2]Country populations'!AY28,'[2]Country populations'!BJ28)</f>
        <v>0</v>
      </c>
      <c r="AF27" s="40">
        <f>IF([2]Setup!$B$21=[2]Setup!$V$19,'[2]Country populations'!AZ28,'[2]Country populations'!BK28)</f>
        <v>0</v>
      </c>
      <c r="AG27" s="40">
        <f>IF([2]Setup!$B$21=[2]Setup!$V$19,'[2]Country populations'!BA28,'[2]Country populations'!BL28)</f>
        <v>0</v>
      </c>
      <c r="AH27" s="40">
        <f>IF([2]Setup!$B$21=[2]Setup!$V$19,'[2]Country populations'!BB28,'[2]Country populations'!BM28)</f>
        <v>0</v>
      </c>
      <c r="AI27" s="40">
        <f>IF([2]Setup!$B$21=[2]Setup!$V$19,'[2]Country populations'!BC28,'[2]Country populations'!BN28)</f>
        <v>0</v>
      </c>
      <c r="AJ27" s="40">
        <f>IF([2]Setup!$B$21=[2]Setup!$V$19,'[2]Country populations'!BD28,'[2]Country populations'!BO28)</f>
        <v>0</v>
      </c>
    </row>
    <row r="28" spans="1:36" x14ac:dyDescent="0.25">
      <c r="A28" t="str">
        <f>'[2]Country populations'!A29</f>
        <v>Bulgaria</v>
      </c>
      <c r="B28" s="40">
        <f>IF([2]Setup!$B$19=[2]Setup!$T$19,'[2]Country populations'!B29,'[2]Country populations'!M29)</f>
        <v>2606</v>
      </c>
      <c r="C28" s="40">
        <f>IF([2]Setup!$B$19=[2]Setup!$T$19,'[2]Country populations'!C29,'[2]Country populations'!N29)</f>
        <v>2783</v>
      </c>
      <c r="D28" s="40">
        <f>IF([2]Setup!$B$19=[2]Setup!$T$19,'[2]Country populations'!D29,'[2]Country populations'!O29)</f>
        <v>2950</v>
      </c>
      <c r="E28" s="40">
        <f>IF([2]Setup!$B$19=[2]Setup!$T$19,'[2]Country populations'!E29,'[2]Country populations'!P29)</f>
        <v>3107</v>
      </c>
      <c r="F28" s="40">
        <f>IF([2]Setup!$B$19=[2]Setup!$T$19,'[2]Country populations'!F29,'[2]Country populations'!Q29)</f>
        <v>3253</v>
      </c>
      <c r="G28" s="40">
        <f>IF([2]Setup!$B$19=[2]Setup!$T$19,'[2]Country populations'!G29,'[2]Country populations'!R29)</f>
        <v>3391</v>
      </c>
      <c r="H28" s="40">
        <f>IF([2]Setup!$B$19=[2]Setup!$T$19,'[2]Country populations'!H29,'[2]Country populations'!S29)</f>
        <v>3519</v>
      </c>
      <c r="I28" s="40">
        <f>IF([2]Setup!$B$19=[2]Setup!$T$19,'[2]Country populations'!I29,'[2]Country populations'!T29)</f>
        <v>3635</v>
      </c>
      <c r="J28" s="40">
        <f>IF([2]Setup!$B$19=[2]Setup!$T$19,'[2]Country populations'!J29,'[2]Country populations'!U29)</f>
        <v>3741</v>
      </c>
      <c r="K28" s="40">
        <f>IF([2]Setup!$B$19=[2]Setup!$T$19,'[2]Country populations'!K29,'[2]Country populations'!V29)</f>
        <v>3836</v>
      </c>
      <c r="L28" s="40">
        <f>IF([2]Setup!$B$19=[2]Setup!$T$19,'[2]Country populations'!L29,'[2]Country populations'!W29)</f>
        <v>3922</v>
      </c>
      <c r="M28" s="40" t="str">
        <f t="shared" si="2"/>
        <v>Bulgaria</v>
      </c>
      <c r="N28" s="40">
        <f>IF([2]Setup!$B$20=[2]Setup!$U$19,'[2]Country populations'!X29,'[2]Country populations'!AI29)</f>
        <v>33</v>
      </c>
      <c r="O28" s="40">
        <f>IF([2]Setup!$B$20=[2]Setup!$U$19,'[2]Country populations'!Y29,'[2]Country populations'!AJ29)</f>
        <v>40</v>
      </c>
      <c r="P28" s="40">
        <f>IF([2]Setup!$B$20=[2]Setup!$U$19,'[2]Country populations'!Z29,'[2]Country populations'!AK29)</f>
        <v>47</v>
      </c>
      <c r="Q28" s="40">
        <f>IF([2]Setup!$B$20=[2]Setup!$U$19,'[2]Country populations'!AA29,'[2]Country populations'!AL29)</f>
        <v>54</v>
      </c>
      <c r="R28" s="40">
        <f>IF([2]Setup!$B$20=[2]Setup!$U$19,'[2]Country populations'!AB29,'[2]Country populations'!AM29)</f>
        <v>61</v>
      </c>
      <c r="S28" s="40">
        <f>IF([2]Setup!$B$20=[2]Setup!$U$19,'[2]Country populations'!AC29,'[2]Country populations'!AN29)</f>
        <v>67</v>
      </c>
      <c r="T28" s="40">
        <f>IF([2]Setup!$B$20=[2]Setup!$U$19,'[2]Country populations'!AD29,'[2]Country populations'!AO29)</f>
        <v>73</v>
      </c>
      <c r="U28" s="40">
        <f>IF([2]Setup!$B$20=[2]Setup!$U$19,'[2]Country populations'!AE29,'[2]Country populations'!AP29)</f>
        <v>78</v>
      </c>
      <c r="V28" s="40">
        <f>IF([2]Setup!$B$20=[2]Setup!$U$19,'[2]Country populations'!AF29,'[2]Country populations'!AQ29)</f>
        <v>84</v>
      </c>
      <c r="W28" s="40">
        <f>IF([2]Setup!$B$20=[2]Setup!$U$19,'[2]Country populations'!AG29,'[2]Country populations'!AR29)</f>
        <v>89</v>
      </c>
      <c r="X28" s="40">
        <f>IF([2]Setup!$B$20=[2]Setup!$U$19,'[2]Country populations'!AH29,'[2]Country populations'!AS29)</f>
        <v>93</v>
      </c>
      <c r="Y28" s="40" t="str">
        <f t="shared" si="3"/>
        <v>Bulgaria</v>
      </c>
      <c r="Z28" s="40">
        <f>IF([2]Setup!$B$21=[2]Setup!$V$19,'[2]Country populations'!AT29,'[2]Country populations'!BE29)</f>
        <v>14</v>
      </c>
      <c r="AA28" s="40">
        <f>IF([2]Setup!$B$21=[2]Setup!$V$19,'[2]Country populations'!AU29,'[2]Country populations'!BF29)</f>
        <v>15</v>
      </c>
      <c r="AB28" s="40">
        <f>IF([2]Setup!$B$21=[2]Setup!$V$19,'[2]Country populations'!AV29,'[2]Country populations'!BG29)</f>
        <v>16</v>
      </c>
      <c r="AC28" s="40">
        <f>IF([2]Setup!$B$21=[2]Setup!$V$19,'[2]Country populations'!AW29,'[2]Country populations'!BH29)</f>
        <v>17</v>
      </c>
      <c r="AD28" s="40">
        <f>IF([2]Setup!$B$21=[2]Setup!$V$19,'[2]Country populations'!AX29,'[2]Country populations'!BI29)</f>
        <v>17</v>
      </c>
      <c r="AE28" s="40">
        <f>IF([2]Setup!$B$21=[2]Setup!$V$19,'[2]Country populations'!AY29,'[2]Country populations'!BJ29)</f>
        <v>18</v>
      </c>
      <c r="AF28" s="40">
        <f>IF([2]Setup!$B$21=[2]Setup!$V$19,'[2]Country populations'!AZ29,'[2]Country populations'!BK29)</f>
        <v>18</v>
      </c>
      <c r="AG28" s="40">
        <f>IF([2]Setup!$B$21=[2]Setup!$V$19,'[2]Country populations'!BA29,'[2]Country populations'!BL29)</f>
        <v>18</v>
      </c>
      <c r="AH28" s="40">
        <f>IF([2]Setup!$B$21=[2]Setup!$V$19,'[2]Country populations'!BB29,'[2]Country populations'!BM29)</f>
        <v>18</v>
      </c>
      <c r="AI28" s="40">
        <f>IF([2]Setup!$B$21=[2]Setup!$V$19,'[2]Country populations'!BC29,'[2]Country populations'!BN29)</f>
        <v>19</v>
      </c>
      <c r="AJ28" s="40">
        <f>IF([2]Setup!$B$21=[2]Setup!$V$19,'[2]Country populations'!BD29,'[2]Country populations'!BO29)</f>
        <v>19</v>
      </c>
    </row>
    <row r="29" spans="1:36" x14ac:dyDescent="0.25">
      <c r="A29" t="str">
        <f>'[2]Country populations'!A30</f>
        <v>Burkina Faso</v>
      </c>
      <c r="B29" s="40">
        <f>IF([2]Setup!$B$19=[2]Setup!$T$19,'[2]Country populations'!B30,'[2]Country populations'!M30)</f>
        <v>98065</v>
      </c>
      <c r="C29" s="40">
        <f>IF([2]Setup!$B$19=[2]Setup!$T$19,'[2]Country populations'!C30,'[2]Country populations'!N30)</f>
        <v>97941</v>
      </c>
      <c r="D29" s="40">
        <f>IF([2]Setup!$B$19=[2]Setup!$T$19,'[2]Country populations'!D30,'[2]Country populations'!O30)</f>
        <v>97560</v>
      </c>
      <c r="E29" s="40">
        <f>IF([2]Setup!$B$19=[2]Setup!$T$19,'[2]Country populations'!E30,'[2]Country populations'!P30)</f>
        <v>96956</v>
      </c>
      <c r="F29" s="40">
        <f>IF([2]Setup!$B$19=[2]Setup!$T$19,'[2]Country populations'!F30,'[2]Country populations'!Q30)</f>
        <v>96173</v>
      </c>
      <c r="G29" s="40">
        <f>IF([2]Setup!$B$19=[2]Setup!$T$19,'[2]Country populations'!G30,'[2]Country populations'!R30)</f>
        <v>95210</v>
      </c>
      <c r="H29" s="40">
        <f>IF([2]Setup!$B$19=[2]Setup!$T$19,'[2]Country populations'!H30,'[2]Country populations'!S30)</f>
        <v>94213</v>
      </c>
      <c r="I29" s="40">
        <f>IF([2]Setup!$B$19=[2]Setup!$T$19,'[2]Country populations'!I30,'[2]Country populations'!T30)</f>
        <v>93226</v>
      </c>
      <c r="J29" s="40">
        <f>IF([2]Setup!$B$19=[2]Setup!$T$19,'[2]Country populations'!J30,'[2]Country populations'!U30)</f>
        <v>92293</v>
      </c>
      <c r="K29" s="40">
        <f>IF([2]Setup!$B$19=[2]Setup!$T$19,'[2]Country populations'!K30,'[2]Country populations'!V30)</f>
        <v>91386</v>
      </c>
      <c r="L29" s="40">
        <f>IF([2]Setup!$B$19=[2]Setup!$T$19,'[2]Country populations'!L30,'[2]Country populations'!W30)</f>
        <v>90547</v>
      </c>
      <c r="M29" s="40" t="str">
        <f t="shared" si="2"/>
        <v>Burkina Faso</v>
      </c>
      <c r="N29" s="40">
        <f>IF([2]Setup!$B$20=[2]Setup!$U$19,'[2]Country populations'!X30,'[2]Country populations'!AI30)</f>
        <v>14379</v>
      </c>
      <c r="O29" s="40">
        <f>IF([2]Setup!$B$20=[2]Setup!$U$19,'[2]Country populations'!Y30,'[2]Country populations'!AJ30)</f>
        <v>14124</v>
      </c>
      <c r="P29" s="40">
        <f>IF([2]Setup!$B$20=[2]Setup!$U$19,'[2]Country populations'!Z30,'[2]Country populations'!AK30)</f>
        <v>13649</v>
      </c>
      <c r="Q29" s="40">
        <f>IF([2]Setup!$B$20=[2]Setup!$U$19,'[2]Country populations'!AA30,'[2]Country populations'!AL30)</f>
        <v>13189</v>
      </c>
      <c r="R29" s="40">
        <f>IF([2]Setup!$B$20=[2]Setup!$U$19,'[2]Country populations'!AB30,'[2]Country populations'!AM30)</f>
        <v>12697</v>
      </c>
      <c r="S29" s="40">
        <f>IF([2]Setup!$B$20=[2]Setup!$U$19,'[2]Country populations'!AC30,'[2]Country populations'!AN30)</f>
        <v>12251</v>
      </c>
      <c r="T29" s="40">
        <f>IF([2]Setup!$B$20=[2]Setup!$U$19,'[2]Country populations'!AD30,'[2]Country populations'!AO30)</f>
        <v>11865</v>
      </c>
      <c r="U29" s="40">
        <f>IF([2]Setup!$B$20=[2]Setup!$U$19,'[2]Country populations'!AE30,'[2]Country populations'!AP30)</f>
        <v>11474</v>
      </c>
      <c r="V29" s="40">
        <f>IF([2]Setup!$B$20=[2]Setup!$U$19,'[2]Country populations'!AF30,'[2]Country populations'!AQ30)</f>
        <v>11056</v>
      </c>
      <c r="W29" s="40">
        <f>IF([2]Setup!$B$20=[2]Setup!$U$19,'[2]Country populations'!AG30,'[2]Country populations'!AR30)</f>
        <v>10667</v>
      </c>
      <c r="X29" s="40">
        <f>IF([2]Setup!$B$20=[2]Setup!$U$19,'[2]Country populations'!AH30,'[2]Country populations'!AS30)</f>
        <v>10263</v>
      </c>
      <c r="Y29" s="40" t="str">
        <f t="shared" si="3"/>
        <v>Burkina Faso</v>
      </c>
      <c r="Z29" s="40">
        <f>IF([2]Setup!$B$21=[2]Setup!$V$19,'[2]Country populations'!AT30,'[2]Country populations'!BE30)</f>
        <v>5975</v>
      </c>
      <c r="AA29" s="40">
        <f>IF([2]Setup!$B$21=[2]Setup!$V$19,'[2]Country populations'!AU30,'[2]Country populations'!BF30)</f>
        <v>5774</v>
      </c>
      <c r="AB29" s="40">
        <f>IF([2]Setup!$B$21=[2]Setup!$V$19,'[2]Country populations'!AV30,'[2]Country populations'!BG30)</f>
        <v>5560</v>
      </c>
      <c r="AC29" s="40">
        <f>IF([2]Setup!$B$21=[2]Setup!$V$19,'[2]Country populations'!AW30,'[2]Country populations'!BH30)</f>
        <v>5337</v>
      </c>
      <c r="AD29" s="40">
        <f>IF([2]Setup!$B$21=[2]Setup!$V$19,'[2]Country populations'!AX30,'[2]Country populations'!BI30)</f>
        <v>5100</v>
      </c>
      <c r="AE29" s="40">
        <f>IF([2]Setup!$B$21=[2]Setup!$V$19,'[2]Country populations'!AY30,'[2]Country populations'!BJ30)</f>
        <v>4854</v>
      </c>
      <c r="AF29" s="40">
        <f>IF([2]Setup!$B$21=[2]Setup!$V$19,'[2]Country populations'!AZ30,'[2]Country populations'!BK30)</f>
        <v>4612</v>
      </c>
      <c r="AG29" s="40">
        <f>IF([2]Setup!$B$21=[2]Setup!$V$19,'[2]Country populations'!BA30,'[2]Country populations'!BL30)</f>
        <v>4377</v>
      </c>
      <c r="AH29" s="40">
        <f>IF([2]Setup!$B$21=[2]Setup!$V$19,'[2]Country populations'!BB30,'[2]Country populations'!BM30)</f>
        <v>4153</v>
      </c>
      <c r="AI29" s="40">
        <f>IF([2]Setup!$B$21=[2]Setup!$V$19,'[2]Country populations'!BC30,'[2]Country populations'!BN30)</f>
        <v>3939</v>
      </c>
      <c r="AJ29" s="40">
        <f>IF([2]Setup!$B$21=[2]Setup!$V$19,'[2]Country populations'!BD30,'[2]Country populations'!BO30)</f>
        <v>3739</v>
      </c>
    </row>
    <row r="30" spans="1:36" x14ac:dyDescent="0.25">
      <c r="A30" t="str">
        <f>'[2]Country populations'!A31</f>
        <v>Burundi</v>
      </c>
      <c r="B30" s="40">
        <f>IF([2]Setup!$B$19=[2]Setup!$T$19,'[2]Country populations'!B31,'[2]Country populations'!M31)</f>
        <v>63304</v>
      </c>
      <c r="C30" s="40">
        <f>IF([2]Setup!$B$19=[2]Setup!$T$19,'[2]Country populations'!C31,'[2]Country populations'!N31)</f>
        <v>61812</v>
      </c>
      <c r="D30" s="40">
        <f>IF([2]Setup!$B$19=[2]Setup!$T$19,'[2]Country populations'!D31,'[2]Country populations'!O31)</f>
        <v>60984</v>
      </c>
      <c r="E30" s="40">
        <f>IF([2]Setup!$B$19=[2]Setup!$T$19,'[2]Country populations'!E31,'[2]Country populations'!P31)</f>
        <v>60664</v>
      </c>
      <c r="F30" s="40">
        <f>IF([2]Setup!$B$19=[2]Setup!$T$19,'[2]Country populations'!F31,'[2]Country populations'!Q31)</f>
        <v>60656</v>
      </c>
      <c r="G30" s="40">
        <f>IF([2]Setup!$B$19=[2]Setup!$T$19,'[2]Country populations'!G31,'[2]Country populations'!R31)</f>
        <v>60783</v>
      </c>
      <c r="H30" s="40">
        <f>IF([2]Setup!$B$19=[2]Setup!$T$19,'[2]Country populations'!H31,'[2]Country populations'!S31)</f>
        <v>60969</v>
      </c>
      <c r="I30" s="40">
        <f>IF([2]Setup!$B$19=[2]Setup!$T$19,'[2]Country populations'!I31,'[2]Country populations'!T31)</f>
        <v>61149</v>
      </c>
      <c r="J30" s="40">
        <f>IF([2]Setup!$B$19=[2]Setup!$T$19,'[2]Country populations'!J31,'[2]Country populations'!U31)</f>
        <v>61293</v>
      </c>
      <c r="K30" s="40">
        <f>IF([2]Setup!$B$19=[2]Setup!$T$19,'[2]Country populations'!K31,'[2]Country populations'!V31)</f>
        <v>61380</v>
      </c>
      <c r="L30" s="40">
        <f>IF([2]Setup!$B$19=[2]Setup!$T$19,'[2]Country populations'!L31,'[2]Country populations'!W31)</f>
        <v>61361</v>
      </c>
      <c r="M30" s="40" t="str">
        <f t="shared" si="2"/>
        <v>Burundi</v>
      </c>
      <c r="N30" s="40">
        <f>IF([2]Setup!$B$20=[2]Setup!$U$19,'[2]Country populations'!X31,'[2]Country populations'!AI31)</f>
        <v>14836</v>
      </c>
      <c r="O30" s="40">
        <f>IF([2]Setup!$B$20=[2]Setup!$U$19,'[2]Country populations'!Y31,'[2]Country populations'!AJ31)</f>
        <v>13966</v>
      </c>
      <c r="P30" s="40">
        <f>IF([2]Setup!$B$20=[2]Setup!$U$19,'[2]Country populations'!Z31,'[2]Country populations'!AK31)</f>
        <v>13277</v>
      </c>
      <c r="Q30" s="40">
        <f>IF([2]Setup!$B$20=[2]Setup!$U$19,'[2]Country populations'!AA31,'[2]Country populations'!AL31)</f>
        <v>12515</v>
      </c>
      <c r="R30" s="40">
        <f>IF([2]Setup!$B$20=[2]Setup!$U$19,'[2]Country populations'!AB31,'[2]Country populations'!AM31)</f>
        <v>11783</v>
      </c>
      <c r="S30" s="40">
        <f>IF([2]Setup!$B$20=[2]Setup!$U$19,'[2]Country populations'!AC31,'[2]Country populations'!AN31)</f>
        <v>11111</v>
      </c>
      <c r="T30" s="40">
        <f>IF([2]Setup!$B$20=[2]Setup!$U$19,'[2]Country populations'!AD31,'[2]Country populations'!AO31)</f>
        <v>10445</v>
      </c>
      <c r="U30" s="40">
        <f>IF([2]Setup!$B$20=[2]Setup!$U$19,'[2]Country populations'!AE31,'[2]Country populations'!AP31)</f>
        <v>9763</v>
      </c>
      <c r="V30" s="40">
        <f>IF([2]Setup!$B$20=[2]Setup!$U$19,'[2]Country populations'!AF31,'[2]Country populations'!AQ31)</f>
        <v>9091</v>
      </c>
      <c r="W30" s="40">
        <f>IF([2]Setup!$B$20=[2]Setup!$U$19,'[2]Country populations'!AG31,'[2]Country populations'!AR31)</f>
        <v>8483</v>
      </c>
      <c r="X30" s="40">
        <f>IF([2]Setup!$B$20=[2]Setup!$U$19,'[2]Country populations'!AH31,'[2]Country populations'!AS31)</f>
        <v>7998</v>
      </c>
      <c r="Y30" s="40" t="str">
        <f t="shared" si="3"/>
        <v>Burundi</v>
      </c>
      <c r="Z30" s="40">
        <f>IF([2]Setup!$B$21=[2]Setup!$V$19,'[2]Country populations'!AT31,'[2]Country populations'!BE31)</f>
        <v>4535</v>
      </c>
      <c r="AA30" s="40">
        <f>IF([2]Setup!$B$21=[2]Setup!$V$19,'[2]Country populations'!AU31,'[2]Country populations'!BF31)</f>
        <v>4144</v>
      </c>
      <c r="AB30" s="40">
        <f>IF([2]Setup!$B$21=[2]Setup!$V$19,'[2]Country populations'!AV31,'[2]Country populations'!BG31)</f>
        <v>3839</v>
      </c>
      <c r="AC30" s="40">
        <f>IF([2]Setup!$B$21=[2]Setup!$V$19,'[2]Country populations'!AW31,'[2]Country populations'!BH31)</f>
        <v>3583</v>
      </c>
      <c r="AD30" s="40">
        <f>IF([2]Setup!$B$21=[2]Setup!$V$19,'[2]Country populations'!AX31,'[2]Country populations'!BI31)</f>
        <v>3357</v>
      </c>
      <c r="AE30" s="40">
        <f>IF([2]Setup!$B$21=[2]Setup!$V$19,'[2]Country populations'!AY31,'[2]Country populations'!BJ31)</f>
        <v>3131</v>
      </c>
      <c r="AF30" s="40">
        <f>IF([2]Setup!$B$21=[2]Setup!$V$19,'[2]Country populations'!AZ31,'[2]Country populations'!BK31)</f>
        <v>2913</v>
      </c>
      <c r="AG30" s="40">
        <f>IF([2]Setup!$B$21=[2]Setup!$V$19,'[2]Country populations'!BA31,'[2]Country populations'!BL31)</f>
        <v>2726</v>
      </c>
      <c r="AH30" s="40">
        <f>IF([2]Setup!$B$21=[2]Setup!$V$19,'[2]Country populations'!BB31,'[2]Country populations'!BM31)</f>
        <v>2570</v>
      </c>
      <c r="AI30" s="40">
        <f>IF([2]Setup!$B$21=[2]Setup!$V$19,'[2]Country populations'!BC31,'[2]Country populations'!BN31)</f>
        <v>2440</v>
      </c>
      <c r="AJ30" s="40">
        <f>IF([2]Setup!$B$21=[2]Setup!$V$19,'[2]Country populations'!BD31,'[2]Country populations'!BO31)</f>
        <v>2333</v>
      </c>
    </row>
    <row r="31" spans="1:36" x14ac:dyDescent="0.25">
      <c r="A31" t="str">
        <f>'[2]Country populations'!A32</f>
        <v>Cambodia</v>
      </c>
      <c r="B31" s="40">
        <f>IF([2]Setup!$B$19=[2]Setup!$T$19,'[2]Country populations'!B32,'[2]Country populations'!M32)</f>
        <v>70649</v>
      </c>
      <c r="C31" s="40">
        <f>IF([2]Setup!$B$19=[2]Setup!$T$19,'[2]Country populations'!C32,'[2]Country populations'!N32)</f>
        <v>68429</v>
      </c>
      <c r="D31" s="40">
        <f>IF([2]Setup!$B$19=[2]Setup!$T$19,'[2]Country populations'!D32,'[2]Country populations'!O32)</f>
        <v>66051</v>
      </c>
      <c r="E31" s="40">
        <f>IF([2]Setup!$B$19=[2]Setup!$T$19,'[2]Country populations'!E32,'[2]Country populations'!P32)</f>
        <v>63707</v>
      </c>
      <c r="F31" s="40">
        <f>IF([2]Setup!$B$19=[2]Setup!$T$19,'[2]Country populations'!F32,'[2]Country populations'!Q32)</f>
        <v>61487</v>
      </c>
      <c r="G31" s="40">
        <f>IF([2]Setup!$B$19=[2]Setup!$T$19,'[2]Country populations'!G32,'[2]Country populations'!R32)</f>
        <v>59487</v>
      </c>
      <c r="H31" s="40">
        <f>IF([2]Setup!$B$19=[2]Setup!$T$19,'[2]Country populations'!H32,'[2]Country populations'!S32)</f>
        <v>57785</v>
      </c>
      <c r="I31" s="40">
        <f>IF([2]Setup!$B$19=[2]Setup!$T$19,'[2]Country populations'!I32,'[2]Country populations'!T32)</f>
        <v>56233</v>
      </c>
      <c r="J31" s="40">
        <f>IF([2]Setup!$B$19=[2]Setup!$T$19,'[2]Country populations'!J32,'[2]Country populations'!U32)</f>
        <v>54765</v>
      </c>
      <c r="K31" s="40">
        <f>IF([2]Setup!$B$19=[2]Setup!$T$19,'[2]Country populations'!K32,'[2]Country populations'!V32)</f>
        <v>53365</v>
      </c>
      <c r="L31" s="40">
        <f>IF([2]Setup!$B$19=[2]Setup!$T$19,'[2]Country populations'!L32,'[2]Country populations'!W32)</f>
        <v>52024</v>
      </c>
      <c r="M31" s="40" t="str">
        <f t="shared" si="2"/>
        <v>Cambodia</v>
      </c>
      <c r="N31" s="40">
        <f>IF([2]Setup!$B$20=[2]Setup!$U$19,'[2]Country populations'!X32,'[2]Country populations'!AI32)</f>
        <v>5367</v>
      </c>
      <c r="O31" s="40">
        <f>IF([2]Setup!$B$20=[2]Setup!$U$19,'[2]Country populations'!Y32,'[2]Country populations'!AJ32)</f>
        <v>5241</v>
      </c>
      <c r="P31" s="40">
        <f>IF([2]Setup!$B$20=[2]Setup!$U$19,'[2]Country populations'!Z32,'[2]Country populations'!AK32)</f>
        <v>4994</v>
      </c>
      <c r="Q31" s="40">
        <f>IF([2]Setup!$B$20=[2]Setup!$U$19,'[2]Country populations'!AA32,'[2]Country populations'!AL32)</f>
        <v>4721</v>
      </c>
      <c r="R31" s="40">
        <f>IF([2]Setup!$B$20=[2]Setup!$U$19,'[2]Country populations'!AB32,'[2]Country populations'!AM32)</f>
        <v>4374</v>
      </c>
      <c r="S31" s="40">
        <f>IF([2]Setup!$B$20=[2]Setup!$U$19,'[2]Country populations'!AC32,'[2]Country populations'!AN32)</f>
        <v>3914</v>
      </c>
      <c r="T31" s="40">
        <f>IF([2]Setup!$B$20=[2]Setup!$U$19,'[2]Country populations'!AD32,'[2]Country populations'!AO32)</f>
        <v>3312</v>
      </c>
      <c r="U31" s="40">
        <f>IF([2]Setup!$B$20=[2]Setup!$U$19,'[2]Country populations'!AE32,'[2]Country populations'!AP32)</f>
        <v>2697</v>
      </c>
      <c r="V31" s="40">
        <f>IF([2]Setup!$B$20=[2]Setup!$U$19,'[2]Country populations'!AF32,'[2]Country populations'!AQ32)</f>
        <v>2153</v>
      </c>
      <c r="W31" s="40">
        <f>IF([2]Setup!$B$20=[2]Setup!$U$19,'[2]Country populations'!AG32,'[2]Country populations'!AR32)</f>
        <v>1697</v>
      </c>
      <c r="X31" s="40">
        <f>IF([2]Setup!$B$20=[2]Setup!$U$19,'[2]Country populations'!AH32,'[2]Country populations'!AS32)</f>
        <v>1327</v>
      </c>
      <c r="Y31" s="40" t="str">
        <f t="shared" si="3"/>
        <v>Cambodia</v>
      </c>
      <c r="Z31" s="40">
        <f>IF([2]Setup!$B$21=[2]Setup!$V$19,'[2]Country populations'!AT32,'[2]Country populations'!BE32)</f>
        <v>1048</v>
      </c>
      <c r="AA31" s="40">
        <f>IF([2]Setup!$B$21=[2]Setup!$V$19,'[2]Country populations'!AU32,'[2]Country populations'!BF32)</f>
        <v>904</v>
      </c>
      <c r="AB31" s="40">
        <f>IF([2]Setup!$B$21=[2]Setup!$V$19,'[2]Country populations'!AV32,'[2]Country populations'!BG32)</f>
        <v>770</v>
      </c>
      <c r="AC31" s="40">
        <f>IF([2]Setup!$B$21=[2]Setup!$V$19,'[2]Country populations'!AW32,'[2]Country populations'!BH32)</f>
        <v>650</v>
      </c>
      <c r="AD31" s="40">
        <f>IF([2]Setup!$B$21=[2]Setup!$V$19,'[2]Country populations'!AX32,'[2]Country populations'!BI32)</f>
        <v>543</v>
      </c>
      <c r="AE31" s="40">
        <f>IF([2]Setup!$B$21=[2]Setup!$V$19,'[2]Country populations'!AY32,'[2]Country populations'!BJ32)</f>
        <v>453</v>
      </c>
      <c r="AF31" s="40">
        <f>IF([2]Setup!$B$21=[2]Setup!$V$19,'[2]Country populations'!AZ32,'[2]Country populations'!BK32)</f>
        <v>385</v>
      </c>
      <c r="AG31" s="40">
        <f>IF([2]Setup!$B$21=[2]Setup!$V$19,'[2]Country populations'!BA32,'[2]Country populations'!BL32)</f>
        <v>337</v>
      </c>
      <c r="AH31" s="40">
        <f>IF([2]Setup!$B$21=[2]Setup!$V$19,'[2]Country populations'!BB32,'[2]Country populations'!BM32)</f>
        <v>306</v>
      </c>
      <c r="AI31" s="40">
        <f>IF([2]Setup!$B$21=[2]Setup!$V$19,'[2]Country populations'!BC32,'[2]Country populations'!BN32)</f>
        <v>286</v>
      </c>
      <c r="AJ31" s="40">
        <f>IF([2]Setup!$B$21=[2]Setup!$V$19,'[2]Country populations'!BD32,'[2]Country populations'!BO32)</f>
        <v>276</v>
      </c>
    </row>
    <row r="32" spans="1:36" x14ac:dyDescent="0.25">
      <c r="A32" t="str">
        <f>'[2]Country populations'!A33</f>
        <v>Cameroon</v>
      </c>
      <c r="B32" s="40">
        <f>IF([2]Setup!$B$19=[2]Setup!$T$19,'[2]Country populations'!B33,'[2]Country populations'!M33)</f>
        <v>625314</v>
      </c>
      <c r="C32" s="40">
        <f>IF([2]Setup!$B$19=[2]Setup!$T$19,'[2]Country populations'!C33,'[2]Country populations'!N33)</f>
        <v>627487</v>
      </c>
      <c r="D32" s="40">
        <f>IF([2]Setup!$B$19=[2]Setup!$T$19,'[2]Country populations'!D33,'[2]Country populations'!O33)</f>
        <v>630441</v>
      </c>
      <c r="E32" s="40">
        <f>IF([2]Setup!$B$19=[2]Setup!$T$19,'[2]Country populations'!E33,'[2]Country populations'!P33)</f>
        <v>633851</v>
      </c>
      <c r="F32" s="40">
        <f>IF([2]Setup!$B$19=[2]Setup!$T$19,'[2]Country populations'!F33,'[2]Country populations'!Q33)</f>
        <v>638114</v>
      </c>
      <c r="G32" s="40">
        <f>IF([2]Setup!$B$19=[2]Setup!$T$19,'[2]Country populations'!G33,'[2]Country populations'!R33)</f>
        <v>643145</v>
      </c>
      <c r="H32" s="40">
        <f>IF([2]Setup!$B$19=[2]Setup!$T$19,'[2]Country populations'!H33,'[2]Country populations'!S33)</f>
        <v>648813</v>
      </c>
      <c r="I32" s="40">
        <f>IF([2]Setup!$B$19=[2]Setup!$T$19,'[2]Country populations'!I33,'[2]Country populations'!T33)</f>
        <v>654040</v>
      </c>
      <c r="J32" s="40">
        <f>IF([2]Setup!$B$19=[2]Setup!$T$19,'[2]Country populations'!J33,'[2]Country populations'!U33)</f>
        <v>658870</v>
      </c>
      <c r="K32" s="40">
        <f>IF([2]Setup!$B$19=[2]Setup!$T$19,'[2]Country populations'!K33,'[2]Country populations'!V33)</f>
        <v>663410</v>
      </c>
      <c r="L32" s="40">
        <f>IF([2]Setup!$B$19=[2]Setup!$T$19,'[2]Country populations'!L33,'[2]Country populations'!W33)</f>
        <v>667549</v>
      </c>
      <c r="M32" s="40" t="str">
        <f t="shared" si="2"/>
        <v>Cameroon</v>
      </c>
      <c r="N32" s="40">
        <f>IF([2]Setup!$B$20=[2]Setup!$U$19,'[2]Country populations'!X33,'[2]Country populations'!AI33)</f>
        <v>93984</v>
      </c>
      <c r="O32" s="40">
        <f>IF([2]Setup!$B$20=[2]Setup!$U$19,'[2]Country populations'!Y33,'[2]Country populations'!AJ33)</f>
        <v>93156</v>
      </c>
      <c r="P32" s="40">
        <f>IF([2]Setup!$B$20=[2]Setup!$U$19,'[2]Country populations'!Z33,'[2]Country populations'!AK33)</f>
        <v>90958</v>
      </c>
      <c r="Q32" s="40">
        <f>IF([2]Setup!$B$20=[2]Setup!$U$19,'[2]Country populations'!AA33,'[2]Country populations'!AL33)</f>
        <v>88914</v>
      </c>
      <c r="R32" s="40">
        <f>IF([2]Setup!$B$20=[2]Setup!$U$19,'[2]Country populations'!AB33,'[2]Country populations'!AM33)</f>
        <v>87025</v>
      </c>
      <c r="S32" s="40">
        <f>IF([2]Setup!$B$20=[2]Setup!$U$19,'[2]Country populations'!AC33,'[2]Country populations'!AN33)</f>
        <v>86362</v>
      </c>
      <c r="T32" s="40">
        <f>IF([2]Setup!$B$20=[2]Setup!$U$19,'[2]Country populations'!AD33,'[2]Country populations'!AO33)</f>
        <v>86754</v>
      </c>
      <c r="U32" s="40">
        <f>IF([2]Setup!$B$20=[2]Setup!$U$19,'[2]Country populations'!AE33,'[2]Country populations'!AP33)</f>
        <v>86873</v>
      </c>
      <c r="V32" s="40">
        <f>IF([2]Setup!$B$20=[2]Setup!$U$19,'[2]Country populations'!AF33,'[2]Country populations'!AQ33)</f>
        <v>86429</v>
      </c>
      <c r="W32" s="40">
        <f>IF([2]Setup!$B$20=[2]Setup!$U$19,'[2]Country populations'!AG33,'[2]Country populations'!AR33)</f>
        <v>85358</v>
      </c>
      <c r="X32" s="40">
        <f>IF([2]Setup!$B$20=[2]Setup!$U$19,'[2]Country populations'!AH33,'[2]Country populations'!AS33)</f>
        <v>83954</v>
      </c>
      <c r="Y32" s="40" t="str">
        <f t="shared" si="3"/>
        <v>Cameroon</v>
      </c>
      <c r="Z32" s="40">
        <f>IF([2]Setup!$B$21=[2]Setup!$V$19,'[2]Country populations'!AT33,'[2]Country populations'!BE33)</f>
        <v>47572</v>
      </c>
      <c r="AA32" s="40">
        <f>IF([2]Setup!$B$21=[2]Setup!$V$19,'[2]Country populations'!AU33,'[2]Country populations'!BF33)</f>
        <v>46006</v>
      </c>
      <c r="AB32" s="40">
        <f>IF([2]Setup!$B$21=[2]Setup!$V$19,'[2]Country populations'!AV33,'[2]Country populations'!BG33)</f>
        <v>44356</v>
      </c>
      <c r="AC32" s="40">
        <f>IF([2]Setup!$B$21=[2]Setup!$V$19,'[2]Country populations'!AW33,'[2]Country populations'!BH33)</f>
        <v>42709</v>
      </c>
      <c r="AD32" s="40">
        <f>IF([2]Setup!$B$21=[2]Setup!$V$19,'[2]Country populations'!AX33,'[2]Country populations'!BI33)</f>
        <v>41063</v>
      </c>
      <c r="AE32" s="40">
        <f>IF([2]Setup!$B$21=[2]Setup!$V$19,'[2]Country populations'!AY33,'[2]Country populations'!BJ33)</f>
        <v>39438</v>
      </c>
      <c r="AF32" s="40">
        <f>IF([2]Setup!$B$21=[2]Setup!$V$19,'[2]Country populations'!AZ33,'[2]Country populations'!BK33)</f>
        <v>37884</v>
      </c>
      <c r="AG32" s="40">
        <f>IF([2]Setup!$B$21=[2]Setup!$V$19,'[2]Country populations'!BA33,'[2]Country populations'!BL33)</f>
        <v>36422</v>
      </c>
      <c r="AH32" s="40">
        <f>IF([2]Setup!$B$21=[2]Setup!$V$19,'[2]Country populations'!BB33,'[2]Country populations'!BM33)</f>
        <v>35032</v>
      </c>
      <c r="AI32" s="40">
        <f>IF([2]Setup!$B$21=[2]Setup!$V$19,'[2]Country populations'!BC33,'[2]Country populations'!BN33)</f>
        <v>33728</v>
      </c>
      <c r="AJ32" s="40">
        <f>IF([2]Setup!$B$21=[2]Setup!$V$19,'[2]Country populations'!BD33,'[2]Country populations'!BO33)</f>
        <v>32522</v>
      </c>
    </row>
    <row r="33" spans="1:36" x14ac:dyDescent="0.25">
      <c r="A33" t="str">
        <f>'[2]Country populations'!A34</f>
        <v>Canada</v>
      </c>
      <c r="B33" s="40">
        <f>IF([2]Setup!$B$19=[2]Setup!$T$19,'[2]Country populations'!B34,'[2]Country populations'!M34)</f>
        <v>79719</v>
      </c>
      <c r="C33" s="40">
        <f>IF([2]Setup!$B$19=[2]Setup!$T$19,'[2]Country populations'!C34,'[2]Country populations'!N34)</f>
        <v>82797</v>
      </c>
      <c r="D33" s="40">
        <f>IF([2]Setup!$B$19=[2]Setup!$T$19,'[2]Country populations'!D34,'[2]Country populations'!O34)</f>
        <v>85842</v>
      </c>
      <c r="E33" s="40">
        <f>IF([2]Setup!$B$19=[2]Setup!$T$19,'[2]Country populations'!E34,'[2]Country populations'!P34)</f>
        <v>88834</v>
      </c>
      <c r="F33" s="40">
        <f>IF([2]Setup!$B$19=[2]Setup!$T$19,'[2]Country populations'!F34,'[2]Country populations'!Q34)</f>
        <v>91784</v>
      </c>
      <c r="G33" s="40">
        <f>IF([2]Setup!$B$19=[2]Setup!$T$19,'[2]Country populations'!G34,'[2]Country populations'!R34)</f>
        <v>94668</v>
      </c>
      <c r="H33" s="40">
        <f>IF([2]Setup!$B$19=[2]Setup!$T$19,'[2]Country populations'!H34,'[2]Country populations'!S34)</f>
        <v>97518</v>
      </c>
      <c r="I33" s="40">
        <f>IF([2]Setup!$B$19=[2]Setup!$T$19,'[2]Country populations'!I34,'[2]Country populations'!T34)</f>
        <v>100334</v>
      </c>
      <c r="J33" s="40">
        <f>IF([2]Setup!$B$19=[2]Setup!$T$19,'[2]Country populations'!J34,'[2]Country populations'!U34)</f>
        <v>103120</v>
      </c>
      <c r="K33" s="40">
        <f>IF([2]Setup!$B$19=[2]Setup!$T$19,'[2]Country populations'!K34,'[2]Country populations'!V34)</f>
        <v>105871</v>
      </c>
      <c r="L33" s="40">
        <f>IF([2]Setup!$B$19=[2]Setup!$T$19,'[2]Country populations'!L34,'[2]Country populations'!W34)</f>
        <v>108590</v>
      </c>
      <c r="M33" s="40" t="str">
        <f t="shared" si="2"/>
        <v>Canada</v>
      </c>
      <c r="N33" s="40">
        <f>IF([2]Setup!$B$20=[2]Setup!$U$19,'[2]Country populations'!X34,'[2]Country populations'!AI34)</f>
        <v>382</v>
      </c>
      <c r="O33" s="40">
        <f>IF([2]Setup!$B$20=[2]Setup!$U$19,'[2]Country populations'!Y34,'[2]Country populations'!AJ34)</f>
        <v>370</v>
      </c>
      <c r="P33" s="40">
        <f>IF([2]Setup!$B$20=[2]Setup!$U$19,'[2]Country populations'!Z34,'[2]Country populations'!AK34)</f>
        <v>357</v>
      </c>
      <c r="Q33" s="40">
        <f>IF([2]Setup!$B$20=[2]Setup!$U$19,'[2]Country populations'!AA34,'[2]Country populations'!AL34)</f>
        <v>359</v>
      </c>
      <c r="R33" s="40">
        <f>IF([2]Setup!$B$20=[2]Setup!$U$19,'[2]Country populations'!AB34,'[2]Country populations'!AM34)</f>
        <v>361</v>
      </c>
      <c r="S33" s="40">
        <f>IF([2]Setup!$B$20=[2]Setup!$U$19,'[2]Country populations'!AC34,'[2]Country populations'!AN34)</f>
        <v>376</v>
      </c>
      <c r="T33" s="40">
        <f>IF([2]Setup!$B$20=[2]Setup!$U$19,'[2]Country populations'!AD34,'[2]Country populations'!AO34)</f>
        <v>392</v>
      </c>
      <c r="U33" s="40">
        <f>IF([2]Setup!$B$20=[2]Setup!$U$19,'[2]Country populations'!AE34,'[2]Country populations'!AP34)</f>
        <v>408</v>
      </c>
      <c r="V33" s="40">
        <f>IF([2]Setup!$B$20=[2]Setup!$U$19,'[2]Country populations'!AF34,'[2]Country populations'!AQ34)</f>
        <v>421</v>
      </c>
      <c r="W33" s="40">
        <f>IF([2]Setup!$B$20=[2]Setup!$U$19,'[2]Country populations'!AG34,'[2]Country populations'!AR34)</f>
        <v>438</v>
      </c>
      <c r="X33" s="40">
        <f>IF([2]Setup!$B$20=[2]Setup!$U$19,'[2]Country populations'!AH34,'[2]Country populations'!AS34)</f>
        <v>453</v>
      </c>
      <c r="Y33" s="40" t="str">
        <f t="shared" si="3"/>
        <v>Canada</v>
      </c>
      <c r="Z33" s="40">
        <f>IF([2]Setup!$B$21=[2]Setup!$V$19,'[2]Country populations'!AT34,'[2]Country populations'!BE34)</f>
        <v>470</v>
      </c>
      <c r="AA33" s="40">
        <f>IF([2]Setup!$B$21=[2]Setup!$V$19,'[2]Country populations'!AU34,'[2]Country populations'!BF34)</f>
        <v>486</v>
      </c>
      <c r="AB33" s="40">
        <f>IF([2]Setup!$B$21=[2]Setup!$V$19,'[2]Country populations'!AV34,'[2]Country populations'!BG34)</f>
        <v>501</v>
      </c>
      <c r="AC33" s="40">
        <f>IF([2]Setup!$B$21=[2]Setup!$V$19,'[2]Country populations'!AW34,'[2]Country populations'!BH34)</f>
        <v>513</v>
      </c>
      <c r="AD33" s="40">
        <f>IF([2]Setup!$B$21=[2]Setup!$V$19,'[2]Country populations'!AX34,'[2]Country populations'!BI34)</f>
        <v>525</v>
      </c>
      <c r="AE33" s="40">
        <f>IF([2]Setup!$B$21=[2]Setup!$V$19,'[2]Country populations'!AY34,'[2]Country populations'!BJ34)</f>
        <v>534</v>
      </c>
      <c r="AF33" s="40">
        <f>IF([2]Setup!$B$21=[2]Setup!$V$19,'[2]Country populations'!AZ34,'[2]Country populations'!BK34)</f>
        <v>542</v>
      </c>
      <c r="AG33" s="40">
        <f>IF([2]Setup!$B$21=[2]Setup!$V$19,'[2]Country populations'!BA34,'[2]Country populations'!BL34)</f>
        <v>548</v>
      </c>
      <c r="AH33" s="40">
        <f>IF([2]Setup!$B$21=[2]Setup!$V$19,'[2]Country populations'!BB34,'[2]Country populations'!BM34)</f>
        <v>554</v>
      </c>
      <c r="AI33" s="40">
        <f>IF([2]Setup!$B$21=[2]Setup!$V$19,'[2]Country populations'!BC34,'[2]Country populations'!BN34)</f>
        <v>561</v>
      </c>
      <c r="AJ33" s="40">
        <f>IF([2]Setup!$B$21=[2]Setup!$V$19,'[2]Country populations'!BD34,'[2]Country populations'!BO34)</f>
        <v>565</v>
      </c>
    </row>
    <row r="34" spans="1:36" x14ac:dyDescent="0.25">
      <c r="A34" t="str">
        <f>'[2]Country populations'!A35</f>
        <v>Cape Verde</v>
      </c>
      <c r="B34" s="40">
        <f>IF([2]Setup!$B$19=[2]Setup!$T$19,'[2]Country populations'!B35,'[2]Country populations'!M35)</f>
        <v>1800</v>
      </c>
      <c r="C34" s="40">
        <f>IF([2]Setup!$B$19=[2]Setup!$T$19,'[2]Country populations'!C35,'[2]Country populations'!N35)</f>
        <v>1817</v>
      </c>
      <c r="D34" s="40">
        <f>IF([2]Setup!$B$19=[2]Setup!$T$19,'[2]Country populations'!D35,'[2]Country populations'!O35)</f>
        <v>1822</v>
      </c>
      <c r="E34" s="40">
        <f>IF([2]Setup!$B$19=[2]Setup!$T$19,'[2]Country populations'!E35,'[2]Country populations'!P35)</f>
        <v>1823</v>
      </c>
      <c r="F34" s="40">
        <f>IF([2]Setup!$B$19=[2]Setup!$T$19,'[2]Country populations'!F35,'[2]Country populations'!Q35)</f>
        <v>1826</v>
      </c>
      <c r="G34" s="40">
        <f>IF([2]Setup!$B$19=[2]Setup!$T$19,'[2]Country populations'!G35,'[2]Country populations'!R35)</f>
        <v>1837</v>
      </c>
      <c r="H34" s="40">
        <f>IF([2]Setup!$B$19=[2]Setup!$T$19,'[2]Country populations'!H35,'[2]Country populations'!S35)</f>
        <v>1851</v>
      </c>
      <c r="I34" s="40">
        <f>IF([2]Setup!$B$19=[2]Setup!$T$19,'[2]Country populations'!I35,'[2]Country populations'!T35)</f>
        <v>1863</v>
      </c>
      <c r="J34" s="40">
        <f>IF([2]Setup!$B$19=[2]Setup!$T$19,'[2]Country populations'!J35,'[2]Country populations'!U35)</f>
        <v>1875</v>
      </c>
      <c r="K34" s="40">
        <f>IF([2]Setup!$B$19=[2]Setup!$T$19,'[2]Country populations'!K35,'[2]Country populations'!V35)</f>
        <v>1887</v>
      </c>
      <c r="L34" s="40">
        <f>IF([2]Setup!$B$19=[2]Setup!$T$19,'[2]Country populations'!L35,'[2]Country populations'!W35)</f>
        <v>1898</v>
      </c>
      <c r="M34" s="40" t="str">
        <f t="shared" si="2"/>
        <v>Cape Verde</v>
      </c>
      <c r="N34" s="40">
        <f>IF([2]Setup!$B$20=[2]Setup!$U$19,'[2]Country populations'!X35,'[2]Country populations'!AI35)</f>
        <v>91</v>
      </c>
      <c r="O34" s="40">
        <f>IF([2]Setup!$B$20=[2]Setup!$U$19,'[2]Country populations'!Y35,'[2]Country populations'!AJ35)</f>
        <v>88</v>
      </c>
      <c r="P34" s="40">
        <f>IF([2]Setup!$B$20=[2]Setup!$U$19,'[2]Country populations'!Z35,'[2]Country populations'!AK35)</f>
        <v>85</v>
      </c>
      <c r="Q34" s="40">
        <f>IF([2]Setup!$B$20=[2]Setup!$U$19,'[2]Country populations'!AA35,'[2]Country populations'!AL35)</f>
        <v>82</v>
      </c>
      <c r="R34" s="40">
        <f>IF([2]Setup!$B$20=[2]Setup!$U$19,'[2]Country populations'!AB35,'[2]Country populations'!AM35)</f>
        <v>80</v>
      </c>
      <c r="S34" s="40">
        <f>IF([2]Setup!$B$20=[2]Setup!$U$19,'[2]Country populations'!AC35,'[2]Country populations'!AN35)</f>
        <v>77</v>
      </c>
      <c r="T34" s="40">
        <f>IF([2]Setup!$B$20=[2]Setup!$U$19,'[2]Country populations'!AD35,'[2]Country populations'!AO35)</f>
        <v>74</v>
      </c>
      <c r="U34" s="40">
        <f>IF([2]Setup!$B$20=[2]Setup!$U$19,'[2]Country populations'!AE35,'[2]Country populations'!AP35)</f>
        <v>71</v>
      </c>
      <c r="V34" s="40">
        <f>IF([2]Setup!$B$20=[2]Setup!$U$19,'[2]Country populations'!AF35,'[2]Country populations'!AQ35)</f>
        <v>68</v>
      </c>
      <c r="W34" s="40">
        <f>IF([2]Setup!$B$20=[2]Setup!$U$19,'[2]Country populations'!AG35,'[2]Country populations'!AR35)</f>
        <v>64</v>
      </c>
      <c r="X34" s="40">
        <f>IF([2]Setup!$B$20=[2]Setup!$U$19,'[2]Country populations'!AH35,'[2]Country populations'!AS35)</f>
        <v>59</v>
      </c>
      <c r="Y34" s="40" t="str">
        <f t="shared" si="3"/>
        <v>Cape Verde</v>
      </c>
      <c r="Z34" s="40">
        <f>IF([2]Setup!$B$21=[2]Setup!$V$19,'[2]Country populations'!AT35,'[2]Country populations'!BE35)</f>
        <v>35</v>
      </c>
      <c r="AA34" s="40">
        <f>IF([2]Setup!$B$21=[2]Setup!$V$19,'[2]Country populations'!AU35,'[2]Country populations'!BF35)</f>
        <v>33</v>
      </c>
      <c r="AB34" s="40">
        <f>IF([2]Setup!$B$21=[2]Setup!$V$19,'[2]Country populations'!AV35,'[2]Country populations'!BG35)</f>
        <v>32</v>
      </c>
      <c r="AC34" s="40">
        <f>IF([2]Setup!$B$21=[2]Setup!$V$19,'[2]Country populations'!AW35,'[2]Country populations'!BH35)</f>
        <v>30</v>
      </c>
      <c r="AD34" s="40">
        <f>IF([2]Setup!$B$21=[2]Setup!$V$19,'[2]Country populations'!AX35,'[2]Country populations'!BI35)</f>
        <v>28</v>
      </c>
      <c r="AE34" s="40">
        <f>IF([2]Setup!$B$21=[2]Setup!$V$19,'[2]Country populations'!AY35,'[2]Country populations'!BJ35)</f>
        <v>27</v>
      </c>
      <c r="AF34" s="40">
        <f>IF([2]Setup!$B$21=[2]Setup!$V$19,'[2]Country populations'!AZ35,'[2]Country populations'!BK35)</f>
        <v>26</v>
      </c>
      <c r="AG34" s="40">
        <f>IF([2]Setup!$B$21=[2]Setup!$V$19,'[2]Country populations'!BA35,'[2]Country populations'!BL35)</f>
        <v>25</v>
      </c>
      <c r="AH34" s="40">
        <f>IF([2]Setup!$B$21=[2]Setup!$V$19,'[2]Country populations'!BB35,'[2]Country populations'!BM35)</f>
        <v>24</v>
      </c>
      <c r="AI34" s="40">
        <f>IF([2]Setup!$B$21=[2]Setup!$V$19,'[2]Country populations'!BC35,'[2]Country populations'!BN35)</f>
        <v>23</v>
      </c>
      <c r="AJ34" s="40">
        <f>IF([2]Setup!$B$21=[2]Setup!$V$19,'[2]Country populations'!BD35,'[2]Country populations'!BO35)</f>
        <v>22</v>
      </c>
    </row>
    <row r="35" spans="1:36" x14ac:dyDescent="0.25">
      <c r="A35" t="str">
        <f>'[2]Country populations'!A36</f>
        <v>Caribbean</v>
      </c>
      <c r="B35" s="40">
        <f>IF([2]Setup!$B$19=[2]Setup!$T$19,'[2]Country populations'!B36,'[2]Country populations'!M36)</f>
        <v>0</v>
      </c>
      <c r="C35" s="40">
        <f>IF([2]Setup!$B$19=[2]Setup!$T$19,'[2]Country populations'!C36,'[2]Country populations'!N36)</f>
        <v>0</v>
      </c>
      <c r="D35" s="40">
        <f>IF([2]Setup!$B$19=[2]Setup!$T$19,'[2]Country populations'!D36,'[2]Country populations'!O36)</f>
        <v>0</v>
      </c>
      <c r="E35" s="40">
        <f>IF([2]Setup!$B$19=[2]Setup!$T$19,'[2]Country populations'!E36,'[2]Country populations'!P36)</f>
        <v>0</v>
      </c>
      <c r="F35" s="40">
        <f>IF([2]Setup!$B$19=[2]Setup!$T$19,'[2]Country populations'!F36,'[2]Country populations'!Q36)</f>
        <v>0</v>
      </c>
      <c r="G35" s="40">
        <f>IF([2]Setup!$B$19=[2]Setup!$T$19,'[2]Country populations'!G36,'[2]Country populations'!R36)</f>
        <v>0</v>
      </c>
      <c r="H35" s="40">
        <f>IF([2]Setup!$B$19=[2]Setup!$T$19,'[2]Country populations'!H36,'[2]Country populations'!S36)</f>
        <v>0</v>
      </c>
      <c r="I35" s="40">
        <f>IF([2]Setup!$B$19=[2]Setup!$T$19,'[2]Country populations'!I36,'[2]Country populations'!T36)</f>
        <v>0</v>
      </c>
      <c r="J35" s="40">
        <f>IF([2]Setup!$B$19=[2]Setup!$T$19,'[2]Country populations'!J36,'[2]Country populations'!U36)</f>
        <v>0</v>
      </c>
      <c r="K35" s="40">
        <f>IF([2]Setup!$B$19=[2]Setup!$T$19,'[2]Country populations'!K36,'[2]Country populations'!V36)</f>
        <v>0</v>
      </c>
      <c r="L35" s="40">
        <f>IF([2]Setup!$B$19=[2]Setup!$T$19,'[2]Country populations'!L36,'[2]Country populations'!W36)</f>
        <v>0</v>
      </c>
      <c r="M35" s="40" t="str">
        <f t="shared" si="2"/>
        <v>Caribbean</v>
      </c>
      <c r="N35" s="40">
        <f>IF([2]Setup!$B$20=[2]Setup!$U$19,'[2]Country populations'!X36,'[2]Country populations'!AI36)</f>
        <v>0</v>
      </c>
      <c r="O35" s="40">
        <f>IF([2]Setup!$B$20=[2]Setup!$U$19,'[2]Country populations'!Y36,'[2]Country populations'!AJ36)</f>
        <v>0</v>
      </c>
      <c r="P35" s="40">
        <f>IF([2]Setup!$B$20=[2]Setup!$U$19,'[2]Country populations'!Z36,'[2]Country populations'!AK36)</f>
        <v>0</v>
      </c>
      <c r="Q35" s="40">
        <f>IF([2]Setup!$B$20=[2]Setup!$U$19,'[2]Country populations'!AA36,'[2]Country populations'!AL36)</f>
        <v>0</v>
      </c>
      <c r="R35" s="40">
        <f>IF([2]Setup!$B$20=[2]Setup!$U$19,'[2]Country populations'!AB36,'[2]Country populations'!AM36)</f>
        <v>0</v>
      </c>
      <c r="S35" s="40">
        <f>IF([2]Setup!$B$20=[2]Setup!$U$19,'[2]Country populations'!AC36,'[2]Country populations'!AN36)</f>
        <v>0</v>
      </c>
      <c r="T35" s="40">
        <f>IF([2]Setup!$B$20=[2]Setup!$U$19,'[2]Country populations'!AD36,'[2]Country populations'!AO36)</f>
        <v>0</v>
      </c>
      <c r="U35" s="40">
        <f>IF([2]Setup!$B$20=[2]Setup!$U$19,'[2]Country populations'!AE36,'[2]Country populations'!AP36)</f>
        <v>0</v>
      </c>
      <c r="V35" s="40">
        <f>IF([2]Setup!$B$20=[2]Setup!$U$19,'[2]Country populations'!AF36,'[2]Country populations'!AQ36)</f>
        <v>0</v>
      </c>
      <c r="W35" s="40">
        <f>IF([2]Setup!$B$20=[2]Setup!$U$19,'[2]Country populations'!AG36,'[2]Country populations'!AR36)</f>
        <v>0</v>
      </c>
      <c r="X35" s="40">
        <f>IF([2]Setup!$B$20=[2]Setup!$U$19,'[2]Country populations'!AH36,'[2]Country populations'!AS36)</f>
        <v>0</v>
      </c>
      <c r="Y35" s="40" t="str">
        <f t="shared" si="3"/>
        <v>Caribbean</v>
      </c>
      <c r="Z35" s="40">
        <f>IF([2]Setup!$B$21=[2]Setup!$V$19,'[2]Country populations'!AT36,'[2]Country populations'!BE36)</f>
        <v>0</v>
      </c>
      <c r="AA35" s="40">
        <f>IF([2]Setup!$B$21=[2]Setup!$V$19,'[2]Country populations'!AU36,'[2]Country populations'!BF36)</f>
        <v>0</v>
      </c>
      <c r="AB35" s="40">
        <f>IF([2]Setup!$B$21=[2]Setup!$V$19,'[2]Country populations'!AV36,'[2]Country populations'!BG36)</f>
        <v>0</v>
      </c>
      <c r="AC35" s="40">
        <f>IF([2]Setup!$B$21=[2]Setup!$V$19,'[2]Country populations'!AW36,'[2]Country populations'!BH36)</f>
        <v>0</v>
      </c>
      <c r="AD35" s="40">
        <f>IF([2]Setup!$B$21=[2]Setup!$V$19,'[2]Country populations'!AX36,'[2]Country populations'!BI36)</f>
        <v>0</v>
      </c>
      <c r="AE35" s="40">
        <f>IF([2]Setup!$B$21=[2]Setup!$V$19,'[2]Country populations'!AY36,'[2]Country populations'!BJ36)</f>
        <v>0</v>
      </c>
      <c r="AF35" s="40">
        <f>IF([2]Setup!$B$21=[2]Setup!$V$19,'[2]Country populations'!AZ36,'[2]Country populations'!BK36)</f>
        <v>0</v>
      </c>
      <c r="AG35" s="40">
        <f>IF([2]Setup!$B$21=[2]Setup!$V$19,'[2]Country populations'!BA36,'[2]Country populations'!BL36)</f>
        <v>0</v>
      </c>
      <c r="AH35" s="40">
        <f>IF([2]Setup!$B$21=[2]Setup!$V$19,'[2]Country populations'!BB36,'[2]Country populations'!BM36)</f>
        <v>0</v>
      </c>
      <c r="AI35" s="40">
        <f>IF([2]Setup!$B$21=[2]Setup!$V$19,'[2]Country populations'!BC36,'[2]Country populations'!BN36)</f>
        <v>0</v>
      </c>
      <c r="AJ35" s="40">
        <f>IF([2]Setup!$B$21=[2]Setup!$V$19,'[2]Country populations'!BD36,'[2]Country populations'!BO36)</f>
        <v>0</v>
      </c>
    </row>
    <row r="36" spans="1:36" x14ac:dyDescent="0.25">
      <c r="A36" t="str">
        <f>'[2]Country populations'!A37</f>
        <v>Central African Republic</v>
      </c>
      <c r="B36" s="40">
        <f>IF([2]Setup!$B$19=[2]Setup!$T$19,'[2]Country populations'!B37,'[2]Country populations'!M37)</f>
        <v>105133</v>
      </c>
      <c r="C36" s="40">
        <f>IF([2]Setup!$B$19=[2]Setup!$T$19,'[2]Country populations'!C37,'[2]Country populations'!N37)</f>
        <v>102038</v>
      </c>
      <c r="D36" s="40">
        <f>IF([2]Setup!$B$19=[2]Setup!$T$19,'[2]Country populations'!D37,'[2]Country populations'!O37)</f>
        <v>99466</v>
      </c>
      <c r="E36" s="40">
        <f>IF([2]Setup!$B$19=[2]Setup!$T$19,'[2]Country populations'!E37,'[2]Country populations'!P37)</f>
        <v>97386</v>
      </c>
      <c r="F36" s="40">
        <f>IF([2]Setup!$B$19=[2]Setup!$T$19,'[2]Country populations'!F37,'[2]Country populations'!Q37)</f>
        <v>95706</v>
      </c>
      <c r="G36" s="40">
        <f>IF([2]Setup!$B$19=[2]Setup!$T$19,'[2]Country populations'!G37,'[2]Country populations'!R37)</f>
        <v>94305</v>
      </c>
      <c r="H36" s="40">
        <f>IF([2]Setup!$B$19=[2]Setup!$T$19,'[2]Country populations'!H37,'[2]Country populations'!S37)</f>
        <v>92946</v>
      </c>
      <c r="I36" s="40">
        <f>IF([2]Setup!$B$19=[2]Setup!$T$19,'[2]Country populations'!I37,'[2]Country populations'!T37)</f>
        <v>91514</v>
      </c>
      <c r="J36" s="40">
        <f>IF([2]Setup!$B$19=[2]Setup!$T$19,'[2]Country populations'!J37,'[2]Country populations'!U37)</f>
        <v>90076</v>
      </c>
      <c r="K36" s="40">
        <f>IF([2]Setup!$B$19=[2]Setup!$T$19,'[2]Country populations'!K37,'[2]Country populations'!V37)</f>
        <v>88660</v>
      </c>
      <c r="L36" s="40">
        <f>IF([2]Setup!$B$19=[2]Setup!$T$19,'[2]Country populations'!L37,'[2]Country populations'!W37)</f>
        <v>87316</v>
      </c>
      <c r="M36" s="40" t="str">
        <f t="shared" si="2"/>
        <v>Central African Republic</v>
      </c>
      <c r="N36" s="40">
        <f>IF([2]Setup!$B$20=[2]Setup!$U$19,'[2]Country populations'!X37,'[2]Country populations'!AI37)</f>
        <v>14161</v>
      </c>
      <c r="O36" s="40">
        <f>IF([2]Setup!$B$20=[2]Setup!$U$19,'[2]Country populations'!Y37,'[2]Country populations'!AJ37)</f>
        <v>13177</v>
      </c>
      <c r="P36" s="40">
        <f>IF([2]Setup!$B$20=[2]Setup!$U$19,'[2]Country populations'!Z37,'[2]Country populations'!AK37)</f>
        <v>12406</v>
      </c>
      <c r="Q36" s="40">
        <f>IF([2]Setup!$B$20=[2]Setup!$U$19,'[2]Country populations'!AA37,'[2]Country populations'!AL37)</f>
        <v>11616</v>
      </c>
      <c r="R36" s="40">
        <f>IF([2]Setup!$B$20=[2]Setup!$U$19,'[2]Country populations'!AB37,'[2]Country populations'!AM37)</f>
        <v>10889</v>
      </c>
      <c r="S36" s="40">
        <f>IF([2]Setup!$B$20=[2]Setup!$U$19,'[2]Country populations'!AC37,'[2]Country populations'!AN37)</f>
        <v>10237</v>
      </c>
      <c r="T36" s="40">
        <f>IF([2]Setup!$B$20=[2]Setup!$U$19,'[2]Country populations'!AD37,'[2]Country populations'!AO37)</f>
        <v>9687</v>
      </c>
      <c r="U36" s="40">
        <f>IF([2]Setup!$B$20=[2]Setup!$U$19,'[2]Country populations'!AE37,'[2]Country populations'!AP37)</f>
        <v>9154</v>
      </c>
      <c r="V36" s="40">
        <f>IF([2]Setup!$B$20=[2]Setup!$U$19,'[2]Country populations'!AF37,'[2]Country populations'!AQ37)</f>
        <v>8625</v>
      </c>
      <c r="W36" s="40">
        <f>IF([2]Setup!$B$20=[2]Setup!$U$19,'[2]Country populations'!AG37,'[2]Country populations'!AR37)</f>
        <v>8152</v>
      </c>
      <c r="X36" s="40">
        <f>IF([2]Setup!$B$20=[2]Setup!$U$19,'[2]Country populations'!AH37,'[2]Country populations'!AS37)</f>
        <v>7733</v>
      </c>
      <c r="Y36" s="40" t="str">
        <f t="shared" si="3"/>
        <v>Central African Republic</v>
      </c>
      <c r="Z36" s="40">
        <f>IF([2]Setup!$B$21=[2]Setup!$V$19,'[2]Country populations'!AT37,'[2]Country populations'!BE37)</f>
        <v>4774</v>
      </c>
      <c r="AA36" s="40">
        <f>IF([2]Setup!$B$21=[2]Setup!$V$19,'[2]Country populations'!AU37,'[2]Country populations'!BF37)</f>
        <v>4478</v>
      </c>
      <c r="AB36" s="40">
        <f>IF([2]Setup!$B$21=[2]Setup!$V$19,'[2]Country populations'!AV37,'[2]Country populations'!BG37)</f>
        <v>4225</v>
      </c>
      <c r="AC36" s="40">
        <f>IF([2]Setup!$B$21=[2]Setup!$V$19,'[2]Country populations'!AW37,'[2]Country populations'!BH37)</f>
        <v>4008</v>
      </c>
      <c r="AD36" s="40">
        <f>IF([2]Setup!$B$21=[2]Setup!$V$19,'[2]Country populations'!AX37,'[2]Country populations'!BI37)</f>
        <v>3817</v>
      </c>
      <c r="AE36" s="40">
        <f>IF([2]Setup!$B$21=[2]Setup!$V$19,'[2]Country populations'!AY37,'[2]Country populations'!BJ37)</f>
        <v>3645</v>
      </c>
      <c r="AF36" s="40">
        <f>IF([2]Setup!$B$21=[2]Setup!$V$19,'[2]Country populations'!AZ37,'[2]Country populations'!BK37)</f>
        <v>3471</v>
      </c>
      <c r="AG36" s="40">
        <f>IF([2]Setup!$B$21=[2]Setup!$V$19,'[2]Country populations'!BA37,'[2]Country populations'!BL37)</f>
        <v>3292</v>
      </c>
      <c r="AH36" s="40">
        <f>IF([2]Setup!$B$21=[2]Setup!$V$19,'[2]Country populations'!BB37,'[2]Country populations'!BM37)</f>
        <v>3124</v>
      </c>
      <c r="AI36" s="40">
        <f>IF([2]Setup!$B$21=[2]Setup!$V$19,'[2]Country populations'!BC37,'[2]Country populations'!BN37)</f>
        <v>2968</v>
      </c>
      <c r="AJ36" s="40">
        <f>IF([2]Setup!$B$21=[2]Setup!$V$19,'[2]Country populations'!BD37,'[2]Country populations'!BO37)</f>
        <v>2824</v>
      </c>
    </row>
    <row r="37" spans="1:36" x14ac:dyDescent="0.25">
      <c r="A37" t="str">
        <f>'[2]Country populations'!A38</f>
        <v>Chad</v>
      </c>
      <c r="B37" s="40">
        <f>IF([2]Setup!$B$19=[2]Setup!$T$19,'[2]Country populations'!B38,'[2]Country populations'!M38)</f>
        <v>157540</v>
      </c>
      <c r="C37" s="40">
        <f>IF([2]Setup!$B$19=[2]Setup!$T$19,'[2]Country populations'!C38,'[2]Country populations'!N38)</f>
        <v>155813</v>
      </c>
      <c r="D37" s="40">
        <f>IF([2]Setup!$B$19=[2]Setup!$T$19,'[2]Country populations'!D38,'[2]Country populations'!O38)</f>
        <v>155056</v>
      </c>
      <c r="E37" s="40">
        <f>IF([2]Setup!$B$19=[2]Setup!$T$19,'[2]Country populations'!E38,'[2]Country populations'!P38)</f>
        <v>154886</v>
      </c>
      <c r="F37" s="40">
        <f>IF([2]Setup!$B$19=[2]Setup!$T$19,'[2]Country populations'!F38,'[2]Country populations'!Q38)</f>
        <v>155220</v>
      </c>
      <c r="G37" s="40">
        <f>IF([2]Setup!$B$19=[2]Setup!$T$19,'[2]Country populations'!G38,'[2]Country populations'!R38)</f>
        <v>155834</v>
      </c>
      <c r="H37" s="40">
        <f>IF([2]Setup!$B$19=[2]Setup!$T$19,'[2]Country populations'!H38,'[2]Country populations'!S38)</f>
        <v>156659</v>
      </c>
      <c r="I37" s="40">
        <f>IF([2]Setup!$B$19=[2]Setup!$T$19,'[2]Country populations'!I38,'[2]Country populations'!T38)</f>
        <v>157539</v>
      </c>
      <c r="J37" s="40">
        <f>IF([2]Setup!$B$19=[2]Setup!$T$19,'[2]Country populations'!J38,'[2]Country populations'!U38)</f>
        <v>158440</v>
      </c>
      <c r="K37" s="40">
        <f>IF([2]Setup!$B$19=[2]Setup!$T$19,'[2]Country populations'!K38,'[2]Country populations'!V38)</f>
        <v>159402</v>
      </c>
      <c r="L37" s="40">
        <f>IF([2]Setup!$B$19=[2]Setup!$T$19,'[2]Country populations'!L38,'[2]Country populations'!W38)</f>
        <v>160508</v>
      </c>
      <c r="M37" s="40" t="str">
        <f t="shared" si="2"/>
        <v>Chad</v>
      </c>
      <c r="N37" s="40">
        <f>IF([2]Setup!$B$20=[2]Setup!$U$19,'[2]Country populations'!X38,'[2]Country populations'!AI38)</f>
        <v>27749</v>
      </c>
      <c r="O37" s="40">
        <f>IF([2]Setup!$B$20=[2]Setup!$U$19,'[2]Country populations'!Y38,'[2]Country populations'!AJ38)</f>
        <v>27277</v>
      </c>
      <c r="P37" s="40">
        <f>IF([2]Setup!$B$20=[2]Setup!$U$19,'[2]Country populations'!Z38,'[2]Country populations'!AK38)</f>
        <v>27169</v>
      </c>
      <c r="Q37" s="40">
        <f>IF([2]Setup!$B$20=[2]Setup!$U$19,'[2]Country populations'!AA38,'[2]Country populations'!AL38)</f>
        <v>27259</v>
      </c>
      <c r="R37" s="40">
        <f>IF([2]Setup!$B$20=[2]Setup!$U$19,'[2]Country populations'!AB38,'[2]Country populations'!AM38)</f>
        <v>27177</v>
      </c>
      <c r="S37" s="40">
        <f>IF([2]Setup!$B$20=[2]Setup!$U$19,'[2]Country populations'!AC38,'[2]Country populations'!AN38)</f>
        <v>26775</v>
      </c>
      <c r="T37" s="40">
        <f>IF([2]Setup!$B$20=[2]Setup!$U$19,'[2]Country populations'!AD38,'[2]Country populations'!AO38)</f>
        <v>26162</v>
      </c>
      <c r="U37" s="40">
        <f>IF([2]Setup!$B$20=[2]Setup!$U$19,'[2]Country populations'!AE38,'[2]Country populations'!AP38)</f>
        <v>25418</v>
      </c>
      <c r="V37" s="40">
        <f>IF([2]Setup!$B$20=[2]Setup!$U$19,'[2]Country populations'!AF38,'[2]Country populations'!AQ38)</f>
        <v>24581</v>
      </c>
      <c r="W37" s="40">
        <f>IF([2]Setup!$B$20=[2]Setup!$U$19,'[2]Country populations'!AG38,'[2]Country populations'!AR38)</f>
        <v>23619</v>
      </c>
      <c r="X37" s="40">
        <f>IF([2]Setup!$B$20=[2]Setup!$U$19,'[2]Country populations'!AH38,'[2]Country populations'!AS38)</f>
        <v>22444</v>
      </c>
      <c r="Y37" s="40" t="str">
        <f t="shared" si="3"/>
        <v>Chad</v>
      </c>
      <c r="Z37" s="40">
        <f>IF([2]Setup!$B$21=[2]Setup!$V$19,'[2]Country populations'!AT38,'[2]Country populations'!BE38)</f>
        <v>11456</v>
      </c>
      <c r="AA37" s="40">
        <f>IF([2]Setup!$B$21=[2]Setup!$V$19,'[2]Country populations'!AU38,'[2]Country populations'!BF38)</f>
        <v>10988</v>
      </c>
      <c r="AB37" s="40">
        <f>IF([2]Setup!$B$21=[2]Setup!$V$19,'[2]Country populations'!AV38,'[2]Country populations'!BG38)</f>
        <v>10592</v>
      </c>
      <c r="AC37" s="40">
        <f>IF([2]Setup!$B$21=[2]Setup!$V$19,'[2]Country populations'!AW38,'[2]Country populations'!BH38)</f>
        <v>10234</v>
      </c>
      <c r="AD37" s="40">
        <f>IF([2]Setup!$B$21=[2]Setup!$V$19,'[2]Country populations'!AX38,'[2]Country populations'!BI38)</f>
        <v>9901</v>
      </c>
      <c r="AE37" s="40">
        <f>IF([2]Setup!$B$21=[2]Setup!$V$19,'[2]Country populations'!AY38,'[2]Country populations'!BJ38)</f>
        <v>9486</v>
      </c>
      <c r="AF37" s="40">
        <f>IF([2]Setup!$B$21=[2]Setup!$V$19,'[2]Country populations'!AZ38,'[2]Country populations'!BK38)</f>
        <v>8990</v>
      </c>
      <c r="AG37" s="40">
        <f>IF([2]Setup!$B$21=[2]Setup!$V$19,'[2]Country populations'!BA38,'[2]Country populations'!BL38)</f>
        <v>8525</v>
      </c>
      <c r="AH37" s="40">
        <f>IF([2]Setup!$B$21=[2]Setup!$V$19,'[2]Country populations'!BB38,'[2]Country populations'!BM38)</f>
        <v>8087</v>
      </c>
      <c r="AI37" s="40">
        <f>IF([2]Setup!$B$21=[2]Setup!$V$19,'[2]Country populations'!BC38,'[2]Country populations'!BN38)</f>
        <v>7677</v>
      </c>
      <c r="AJ37" s="40">
        <f>IF([2]Setup!$B$21=[2]Setup!$V$19,'[2]Country populations'!BD38,'[2]Country populations'!BO38)</f>
        <v>7303</v>
      </c>
    </row>
    <row r="38" spans="1:36" x14ac:dyDescent="0.25">
      <c r="A38" t="str">
        <f>'[2]Country populations'!A39</f>
        <v>Chile</v>
      </c>
      <c r="B38" s="40">
        <f>IF([2]Setup!$B$19=[2]Setup!$T$19,'[2]Country populations'!B39,'[2]Country populations'!M39)</f>
        <v>42916</v>
      </c>
      <c r="C38" s="40">
        <f>IF([2]Setup!$B$19=[2]Setup!$T$19,'[2]Country populations'!C39,'[2]Country populations'!N39)</f>
        <v>44334</v>
      </c>
      <c r="D38" s="40">
        <f>IF([2]Setup!$B$19=[2]Setup!$T$19,'[2]Country populations'!D39,'[2]Country populations'!O39)</f>
        <v>45648</v>
      </c>
      <c r="E38" s="40">
        <f>IF([2]Setup!$B$19=[2]Setup!$T$19,'[2]Country populations'!E39,'[2]Country populations'!P39)</f>
        <v>46914</v>
      </c>
      <c r="F38" s="40">
        <f>IF([2]Setup!$B$19=[2]Setup!$T$19,'[2]Country populations'!F39,'[2]Country populations'!Q39)</f>
        <v>48130</v>
      </c>
      <c r="G38" s="40">
        <f>IF([2]Setup!$B$19=[2]Setup!$T$19,'[2]Country populations'!G39,'[2]Country populations'!R39)</f>
        <v>49301</v>
      </c>
      <c r="H38" s="40">
        <f>IF([2]Setup!$B$19=[2]Setup!$T$19,'[2]Country populations'!H39,'[2]Country populations'!S39)</f>
        <v>50461</v>
      </c>
      <c r="I38" s="40">
        <f>IF([2]Setup!$B$19=[2]Setup!$T$19,'[2]Country populations'!I39,'[2]Country populations'!T39)</f>
        <v>51607</v>
      </c>
      <c r="J38" s="40">
        <f>IF([2]Setup!$B$19=[2]Setup!$T$19,'[2]Country populations'!J39,'[2]Country populations'!U39)</f>
        <v>52740</v>
      </c>
      <c r="K38" s="40">
        <f>IF([2]Setup!$B$19=[2]Setup!$T$19,'[2]Country populations'!K39,'[2]Country populations'!V39)</f>
        <v>53855</v>
      </c>
      <c r="L38" s="40">
        <f>IF([2]Setup!$B$19=[2]Setup!$T$19,'[2]Country populations'!L39,'[2]Country populations'!W39)</f>
        <v>54950</v>
      </c>
      <c r="M38" s="40" t="str">
        <f t="shared" si="2"/>
        <v>Chile</v>
      </c>
      <c r="N38" s="40">
        <f>IF([2]Setup!$B$20=[2]Setup!$U$19,'[2]Country populations'!X39,'[2]Country populations'!AI39)</f>
        <v>282</v>
      </c>
      <c r="O38" s="40">
        <f>IF([2]Setup!$B$20=[2]Setup!$U$19,'[2]Country populations'!Y39,'[2]Country populations'!AJ39)</f>
        <v>265</v>
      </c>
      <c r="P38" s="40">
        <f>IF([2]Setup!$B$20=[2]Setup!$U$19,'[2]Country populations'!Z39,'[2]Country populations'!AK39)</f>
        <v>252</v>
      </c>
      <c r="Q38" s="40">
        <f>IF([2]Setup!$B$20=[2]Setup!$U$19,'[2]Country populations'!AA39,'[2]Country populations'!AL39)</f>
        <v>241</v>
      </c>
      <c r="R38" s="40">
        <f>IF([2]Setup!$B$20=[2]Setup!$U$19,'[2]Country populations'!AB39,'[2]Country populations'!AM39)</f>
        <v>231</v>
      </c>
      <c r="S38" s="40">
        <f>IF([2]Setup!$B$20=[2]Setup!$U$19,'[2]Country populations'!AC39,'[2]Country populations'!AN39)</f>
        <v>222</v>
      </c>
      <c r="T38" s="40">
        <f>IF([2]Setup!$B$20=[2]Setup!$U$19,'[2]Country populations'!AD39,'[2]Country populations'!AO39)</f>
        <v>215</v>
      </c>
      <c r="U38" s="40">
        <f>IF([2]Setup!$B$20=[2]Setup!$U$19,'[2]Country populations'!AE39,'[2]Country populations'!AP39)</f>
        <v>209</v>
      </c>
      <c r="V38" s="40">
        <f>IF([2]Setup!$B$20=[2]Setup!$U$19,'[2]Country populations'!AF39,'[2]Country populations'!AQ39)</f>
        <v>204</v>
      </c>
      <c r="W38" s="40">
        <f>IF([2]Setup!$B$20=[2]Setup!$U$19,'[2]Country populations'!AG39,'[2]Country populations'!AR39)</f>
        <v>201</v>
      </c>
      <c r="X38" s="40">
        <f>IF([2]Setup!$B$20=[2]Setup!$U$19,'[2]Country populations'!AH39,'[2]Country populations'!AS39)</f>
        <v>205</v>
      </c>
      <c r="Y38" s="40" t="str">
        <f t="shared" si="3"/>
        <v>Chile</v>
      </c>
      <c r="Z38" s="40">
        <f>IF([2]Setup!$B$21=[2]Setup!$V$19,'[2]Country populations'!AT39,'[2]Country populations'!BE39)</f>
        <v>140</v>
      </c>
      <c r="AA38" s="40">
        <f>IF([2]Setup!$B$21=[2]Setup!$V$19,'[2]Country populations'!AU39,'[2]Country populations'!BF39)</f>
        <v>146</v>
      </c>
      <c r="AB38" s="40">
        <f>IF([2]Setup!$B$21=[2]Setup!$V$19,'[2]Country populations'!AV39,'[2]Country populations'!BG39)</f>
        <v>152</v>
      </c>
      <c r="AC38" s="40">
        <f>IF([2]Setup!$B$21=[2]Setup!$V$19,'[2]Country populations'!AW39,'[2]Country populations'!BH39)</f>
        <v>159</v>
      </c>
      <c r="AD38" s="40">
        <f>IF([2]Setup!$B$21=[2]Setup!$V$19,'[2]Country populations'!AX39,'[2]Country populations'!BI39)</f>
        <v>165</v>
      </c>
      <c r="AE38" s="40">
        <f>IF([2]Setup!$B$21=[2]Setup!$V$19,'[2]Country populations'!AY39,'[2]Country populations'!BJ39)</f>
        <v>172</v>
      </c>
      <c r="AF38" s="40">
        <f>IF([2]Setup!$B$21=[2]Setup!$V$19,'[2]Country populations'!AZ39,'[2]Country populations'!BK39)</f>
        <v>178</v>
      </c>
      <c r="AG38" s="40">
        <f>IF([2]Setup!$B$21=[2]Setup!$V$19,'[2]Country populations'!BA39,'[2]Country populations'!BL39)</f>
        <v>183</v>
      </c>
      <c r="AH38" s="40">
        <f>IF([2]Setup!$B$21=[2]Setup!$V$19,'[2]Country populations'!BB39,'[2]Country populations'!BM39)</f>
        <v>188</v>
      </c>
      <c r="AI38" s="40">
        <f>IF([2]Setup!$B$21=[2]Setup!$V$19,'[2]Country populations'!BC39,'[2]Country populations'!BN39)</f>
        <v>191</v>
      </c>
      <c r="AJ38" s="40">
        <f>IF([2]Setup!$B$21=[2]Setup!$V$19,'[2]Country populations'!BD39,'[2]Country populations'!BO39)</f>
        <v>194</v>
      </c>
    </row>
    <row r="39" spans="1:36" x14ac:dyDescent="0.25">
      <c r="A39" t="str">
        <f>'[2]Country populations'!A40</f>
        <v>China</v>
      </c>
      <c r="B39" s="40">
        <f>IF([2]Setup!$B$19=[2]Setup!$T$19,'[2]Country populations'!B40,'[2]Country populations'!M40)</f>
        <v>849348</v>
      </c>
      <c r="C39" s="40">
        <f>IF([2]Setup!$B$19=[2]Setup!$T$19,'[2]Country populations'!C40,'[2]Country populations'!N40)</f>
        <v>870747</v>
      </c>
      <c r="D39" s="40">
        <f>IF([2]Setup!$B$19=[2]Setup!$T$19,'[2]Country populations'!D40,'[2]Country populations'!O40)</f>
        <v>887153</v>
      </c>
      <c r="E39" s="40">
        <f>IF([2]Setup!$B$19=[2]Setup!$T$19,'[2]Country populations'!E40,'[2]Country populations'!P40)</f>
        <v>899983</v>
      </c>
      <c r="F39" s="40">
        <f>IF([2]Setup!$B$19=[2]Setup!$T$19,'[2]Country populations'!F40,'[2]Country populations'!Q40)</f>
        <v>910040</v>
      </c>
      <c r="G39" s="40">
        <f>IF([2]Setup!$B$19=[2]Setup!$T$19,'[2]Country populations'!G40,'[2]Country populations'!R40)</f>
        <v>917663</v>
      </c>
      <c r="H39" s="40">
        <f>IF([2]Setup!$B$19=[2]Setup!$T$19,'[2]Country populations'!H40,'[2]Country populations'!S40)</f>
        <v>923157</v>
      </c>
      <c r="I39" s="40">
        <f>IF([2]Setup!$B$19=[2]Setup!$T$19,'[2]Country populations'!I40,'[2]Country populations'!T40)</f>
        <v>926908</v>
      </c>
      <c r="J39" s="40">
        <f>IF([2]Setup!$B$19=[2]Setup!$T$19,'[2]Country populations'!J40,'[2]Country populations'!U40)</f>
        <v>929136</v>
      </c>
      <c r="K39" s="40">
        <f>IF([2]Setup!$B$19=[2]Setup!$T$19,'[2]Country populations'!K40,'[2]Country populations'!V40)</f>
        <v>930005</v>
      </c>
      <c r="L39" s="40">
        <f>IF([2]Setup!$B$19=[2]Setup!$T$19,'[2]Country populations'!L40,'[2]Country populations'!W40)</f>
        <v>929763</v>
      </c>
      <c r="M39" s="40" t="str">
        <f t="shared" si="2"/>
        <v>China</v>
      </c>
      <c r="N39" s="40">
        <f>IF([2]Setup!$B$20=[2]Setup!$U$19,'[2]Country populations'!X40,'[2]Country populations'!AI40)</f>
        <v>18671</v>
      </c>
      <c r="O39" s="40">
        <f>IF([2]Setup!$B$20=[2]Setup!$U$19,'[2]Country populations'!Y40,'[2]Country populations'!AJ40)</f>
        <v>19015</v>
      </c>
      <c r="P39" s="40">
        <f>IF([2]Setup!$B$20=[2]Setup!$U$19,'[2]Country populations'!Z40,'[2]Country populations'!AK40)</f>
        <v>20340</v>
      </c>
      <c r="Q39" s="40">
        <f>IF([2]Setup!$B$20=[2]Setup!$U$19,'[2]Country populations'!AA40,'[2]Country populations'!AL40)</f>
        <v>20932</v>
      </c>
      <c r="R39" s="40">
        <f>IF([2]Setup!$B$20=[2]Setup!$U$19,'[2]Country populations'!AB40,'[2]Country populations'!AM40)</f>
        <v>21405</v>
      </c>
      <c r="S39" s="40">
        <f>IF([2]Setup!$B$20=[2]Setup!$U$19,'[2]Country populations'!AC40,'[2]Country populations'!AN40)</f>
        <v>21696</v>
      </c>
      <c r="T39" s="40">
        <f>IF([2]Setup!$B$20=[2]Setup!$U$19,'[2]Country populations'!AD40,'[2]Country populations'!AO40)</f>
        <v>21898</v>
      </c>
      <c r="U39" s="40">
        <f>IF([2]Setup!$B$20=[2]Setup!$U$19,'[2]Country populations'!AE40,'[2]Country populations'!AP40)</f>
        <v>21982</v>
      </c>
      <c r="V39" s="40">
        <f>IF([2]Setup!$B$20=[2]Setup!$U$19,'[2]Country populations'!AF40,'[2]Country populations'!AQ40)</f>
        <v>21917</v>
      </c>
      <c r="W39" s="40">
        <f>IF([2]Setup!$B$20=[2]Setup!$U$19,'[2]Country populations'!AG40,'[2]Country populations'!AR40)</f>
        <v>21806</v>
      </c>
      <c r="X39" s="40">
        <f>IF([2]Setup!$B$20=[2]Setup!$U$19,'[2]Country populations'!AH40,'[2]Country populations'!AS40)</f>
        <v>21657</v>
      </c>
      <c r="Y39" s="40" t="str">
        <f t="shared" si="3"/>
        <v>China</v>
      </c>
      <c r="Z39" s="40">
        <f>IF([2]Setup!$B$21=[2]Setup!$V$19,'[2]Country populations'!AT40,'[2]Country populations'!BE40)</f>
        <v>6594</v>
      </c>
      <c r="AA39" s="40">
        <f>IF([2]Setup!$B$21=[2]Setup!$V$19,'[2]Country populations'!AU40,'[2]Country populations'!BF40)</f>
        <v>6563</v>
      </c>
      <c r="AB39" s="40">
        <f>IF([2]Setup!$B$21=[2]Setup!$V$19,'[2]Country populations'!AV40,'[2]Country populations'!BG40)</f>
        <v>6469</v>
      </c>
      <c r="AC39" s="40">
        <f>IF([2]Setup!$B$21=[2]Setup!$V$19,'[2]Country populations'!AW40,'[2]Country populations'!BH40)</f>
        <v>6332</v>
      </c>
      <c r="AD39" s="40">
        <f>IF([2]Setup!$B$21=[2]Setup!$V$19,'[2]Country populations'!AX40,'[2]Country populations'!BI40)</f>
        <v>6183</v>
      </c>
      <c r="AE39" s="40">
        <f>IF([2]Setup!$B$21=[2]Setup!$V$19,'[2]Country populations'!AY40,'[2]Country populations'!BJ40)</f>
        <v>6034</v>
      </c>
      <c r="AF39" s="40">
        <f>IF([2]Setup!$B$21=[2]Setup!$V$19,'[2]Country populations'!AZ40,'[2]Country populations'!BK40)</f>
        <v>5892</v>
      </c>
      <c r="AG39" s="40">
        <f>IF([2]Setup!$B$21=[2]Setup!$V$19,'[2]Country populations'!BA40,'[2]Country populations'!BL40)</f>
        <v>5756</v>
      </c>
      <c r="AH39" s="40">
        <f>IF([2]Setup!$B$21=[2]Setup!$V$19,'[2]Country populations'!BB40,'[2]Country populations'!BM40)</f>
        <v>5626</v>
      </c>
      <c r="AI39" s="40">
        <f>IF([2]Setup!$B$21=[2]Setup!$V$19,'[2]Country populations'!BC40,'[2]Country populations'!BN40)</f>
        <v>5507</v>
      </c>
      <c r="AJ39" s="40">
        <f>IF([2]Setup!$B$21=[2]Setup!$V$19,'[2]Country populations'!BD40,'[2]Country populations'!BO40)</f>
        <v>5407</v>
      </c>
    </row>
    <row r="40" spans="1:36" x14ac:dyDescent="0.25">
      <c r="A40" t="str">
        <f>'[2]Country populations'!A41</f>
        <v>Colombia</v>
      </c>
      <c r="B40" s="40">
        <f>IF([2]Setup!$B$19=[2]Setup!$T$19,'[2]Country populations'!B41,'[2]Country populations'!M41)</f>
        <v>150211</v>
      </c>
      <c r="C40" s="40">
        <f>IF([2]Setup!$B$19=[2]Setup!$T$19,'[2]Country populations'!C41,'[2]Country populations'!N41)</f>
        <v>153530</v>
      </c>
      <c r="D40" s="40">
        <f>IF([2]Setup!$B$19=[2]Setup!$T$19,'[2]Country populations'!D41,'[2]Country populations'!O41)</f>
        <v>156951</v>
      </c>
      <c r="E40" s="40">
        <f>IF([2]Setup!$B$19=[2]Setup!$T$19,'[2]Country populations'!E41,'[2]Country populations'!P41)</f>
        <v>160543</v>
      </c>
      <c r="F40" s="40">
        <f>IF([2]Setup!$B$19=[2]Setup!$T$19,'[2]Country populations'!F41,'[2]Country populations'!Q41)</f>
        <v>164358</v>
      </c>
      <c r="G40" s="40">
        <f>IF([2]Setup!$B$19=[2]Setup!$T$19,'[2]Country populations'!G41,'[2]Country populations'!R41)</f>
        <v>168415</v>
      </c>
      <c r="H40" s="40">
        <f>IF([2]Setup!$B$19=[2]Setup!$T$19,'[2]Country populations'!H41,'[2]Country populations'!S41)</f>
        <v>172380</v>
      </c>
      <c r="I40" s="40">
        <f>IF([2]Setup!$B$19=[2]Setup!$T$19,'[2]Country populations'!I41,'[2]Country populations'!T41)</f>
        <v>176095</v>
      </c>
      <c r="J40" s="40">
        <f>IF([2]Setup!$B$19=[2]Setup!$T$19,'[2]Country populations'!J41,'[2]Country populations'!U41)</f>
        <v>179515</v>
      </c>
      <c r="K40" s="40">
        <f>IF([2]Setup!$B$19=[2]Setup!$T$19,'[2]Country populations'!K41,'[2]Country populations'!V41)</f>
        <v>182675</v>
      </c>
      <c r="L40" s="40">
        <f>IF([2]Setup!$B$19=[2]Setup!$T$19,'[2]Country populations'!L41,'[2]Country populations'!W41)</f>
        <v>185657</v>
      </c>
      <c r="M40" s="40" t="str">
        <f t="shared" si="2"/>
        <v>Colombia</v>
      </c>
      <c r="N40" s="40">
        <f>IF([2]Setup!$B$20=[2]Setup!$U$19,'[2]Country populations'!X41,'[2]Country populations'!AI41)</f>
        <v>6109</v>
      </c>
      <c r="O40" s="40">
        <f>IF([2]Setup!$B$20=[2]Setup!$U$19,'[2]Country populations'!Y41,'[2]Country populations'!AJ41)</f>
        <v>5786</v>
      </c>
      <c r="P40" s="40">
        <f>IF([2]Setup!$B$20=[2]Setup!$U$19,'[2]Country populations'!Z41,'[2]Country populations'!AK41)</f>
        <v>5554</v>
      </c>
      <c r="Q40" s="40">
        <f>IF([2]Setup!$B$20=[2]Setup!$U$19,'[2]Country populations'!AA41,'[2]Country populations'!AL41)</f>
        <v>5371</v>
      </c>
      <c r="R40" s="40">
        <f>IF([2]Setup!$B$20=[2]Setup!$U$19,'[2]Country populations'!AB41,'[2]Country populations'!AM41)</f>
        <v>5224</v>
      </c>
      <c r="S40" s="40">
        <f>IF([2]Setup!$B$20=[2]Setup!$U$19,'[2]Country populations'!AC41,'[2]Country populations'!AN41)</f>
        <v>5101</v>
      </c>
      <c r="T40" s="40">
        <f>IF([2]Setup!$B$20=[2]Setup!$U$19,'[2]Country populations'!AD41,'[2]Country populations'!AO41)</f>
        <v>4980</v>
      </c>
      <c r="U40" s="40">
        <f>IF([2]Setup!$B$20=[2]Setup!$U$19,'[2]Country populations'!AE41,'[2]Country populations'!AP41)</f>
        <v>4861</v>
      </c>
      <c r="V40" s="40">
        <f>IF([2]Setup!$B$20=[2]Setup!$U$19,'[2]Country populations'!AF41,'[2]Country populations'!AQ41)</f>
        <v>4823</v>
      </c>
      <c r="W40" s="40">
        <f>IF([2]Setup!$B$20=[2]Setup!$U$19,'[2]Country populations'!AG41,'[2]Country populations'!AR41)</f>
        <v>4845</v>
      </c>
      <c r="X40" s="40">
        <f>IF([2]Setup!$B$20=[2]Setup!$U$19,'[2]Country populations'!AH41,'[2]Country populations'!AS41)</f>
        <v>4860</v>
      </c>
      <c r="Y40" s="40" t="str">
        <f t="shared" si="3"/>
        <v>Colombia</v>
      </c>
      <c r="Z40" s="40">
        <f>IF([2]Setup!$B$21=[2]Setup!$V$19,'[2]Country populations'!AT41,'[2]Country populations'!BE41)</f>
        <v>1435</v>
      </c>
      <c r="AA40" s="40">
        <f>IF([2]Setup!$B$21=[2]Setup!$V$19,'[2]Country populations'!AU41,'[2]Country populations'!BF41)</f>
        <v>1429</v>
      </c>
      <c r="AB40" s="40">
        <f>IF([2]Setup!$B$21=[2]Setup!$V$19,'[2]Country populations'!AV41,'[2]Country populations'!BG41)</f>
        <v>1428</v>
      </c>
      <c r="AC40" s="40">
        <f>IF([2]Setup!$B$21=[2]Setup!$V$19,'[2]Country populations'!AW41,'[2]Country populations'!BH41)</f>
        <v>1431</v>
      </c>
      <c r="AD40" s="40">
        <f>IF([2]Setup!$B$21=[2]Setup!$V$19,'[2]Country populations'!AX41,'[2]Country populations'!BI41)</f>
        <v>1437</v>
      </c>
      <c r="AE40" s="40">
        <f>IF([2]Setup!$B$21=[2]Setup!$V$19,'[2]Country populations'!AY41,'[2]Country populations'!BJ41)</f>
        <v>1448</v>
      </c>
      <c r="AF40" s="40">
        <f>IF([2]Setup!$B$21=[2]Setup!$V$19,'[2]Country populations'!AZ41,'[2]Country populations'!BK41)</f>
        <v>1458</v>
      </c>
      <c r="AG40" s="40">
        <f>IF([2]Setup!$B$21=[2]Setup!$V$19,'[2]Country populations'!BA41,'[2]Country populations'!BL41)</f>
        <v>1462</v>
      </c>
      <c r="AH40" s="40">
        <f>IF([2]Setup!$B$21=[2]Setup!$V$19,'[2]Country populations'!BB41,'[2]Country populations'!BM41)</f>
        <v>1461</v>
      </c>
      <c r="AI40" s="40">
        <f>IF([2]Setup!$B$21=[2]Setup!$V$19,'[2]Country populations'!BC41,'[2]Country populations'!BN41)</f>
        <v>1456</v>
      </c>
      <c r="AJ40" s="40">
        <f>IF([2]Setup!$B$21=[2]Setup!$V$19,'[2]Country populations'!BD41,'[2]Country populations'!BO41)</f>
        <v>1449</v>
      </c>
    </row>
    <row r="41" spans="1:36" x14ac:dyDescent="0.25">
      <c r="A41" t="str">
        <f>'[2]Country populations'!A42</f>
        <v>Comoros</v>
      </c>
      <c r="B41" s="40">
        <f>IF([2]Setup!$B$19=[2]Setup!$T$19,'[2]Country populations'!B42,'[2]Country populations'!M42)</f>
        <v>377</v>
      </c>
      <c r="C41" s="40">
        <f>IF([2]Setup!$B$19=[2]Setup!$T$19,'[2]Country populations'!C42,'[2]Country populations'!N42)</f>
        <v>416</v>
      </c>
      <c r="D41" s="40">
        <f>IF([2]Setup!$B$19=[2]Setup!$T$19,'[2]Country populations'!D42,'[2]Country populations'!O42)</f>
        <v>454</v>
      </c>
      <c r="E41" s="40">
        <f>IF([2]Setup!$B$19=[2]Setup!$T$19,'[2]Country populations'!E42,'[2]Country populations'!P42)</f>
        <v>490</v>
      </c>
      <c r="F41" s="40">
        <f>IF([2]Setup!$B$19=[2]Setup!$T$19,'[2]Country populations'!F42,'[2]Country populations'!Q42)</f>
        <v>524</v>
      </c>
      <c r="G41" s="40">
        <f>IF([2]Setup!$B$19=[2]Setup!$T$19,'[2]Country populations'!G42,'[2]Country populations'!R42)</f>
        <v>557</v>
      </c>
      <c r="H41" s="40">
        <f>IF([2]Setup!$B$19=[2]Setup!$T$19,'[2]Country populations'!H42,'[2]Country populations'!S42)</f>
        <v>588</v>
      </c>
      <c r="I41" s="40">
        <f>IF([2]Setup!$B$19=[2]Setup!$T$19,'[2]Country populations'!I42,'[2]Country populations'!T42)</f>
        <v>618</v>
      </c>
      <c r="J41" s="40">
        <f>IF([2]Setup!$B$19=[2]Setup!$T$19,'[2]Country populations'!J42,'[2]Country populations'!U42)</f>
        <v>646</v>
      </c>
      <c r="K41" s="40">
        <f>IF([2]Setup!$B$19=[2]Setup!$T$19,'[2]Country populations'!K42,'[2]Country populations'!V42)</f>
        <v>674</v>
      </c>
      <c r="L41" s="40">
        <f>IF([2]Setup!$B$19=[2]Setup!$T$19,'[2]Country populations'!L42,'[2]Country populations'!W42)</f>
        <v>700</v>
      </c>
      <c r="M41" s="40" t="str">
        <f t="shared" si="2"/>
        <v>Comoros</v>
      </c>
      <c r="N41" s="40">
        <f>IF([2]Setup!$B$20=[2]Setup!$U$19,'[2]Country populations'!X42,'[2]Country populations'!AI42)</f>
        <v>18</v>
      </c>
      <c r="O41" s="40">
        <f>IF([2]Setup!$B$20=[2]Setup!$U$19,'[2]Country populations'!Y42,'[2]Country populations'!AJ42)</f>
        <v>20</v>
      </c>
      <c r="P41" s="40">
        <f>IF([2]Setup!$B$20=[2]Setup!$U$19,'[2]Country populations'!Z42,'[2]Country populations'!AK42)</f>
        <v>21</v>
      </c>
      <c r="Q41" s="40">
        <f>IF([2]Setup!$B$20=[2]Setup!$U$19,'[2]Country populations'!AA42,'[2]Country populations'!AL42)</f>
        <v>23</v>
      </c>
      <c r="R41" s="40">
        <f>IF([2]Setup!$B$20=[2]Setup!$U$19,'[2]Country populations'!AB42,'[2]Country populations'!AM42)</f>
        <v>25</v>
      </c>
      <c r="S41" s="40">
        <f>IF([2]Setup!$B$20=[2]Setup!$U$19,'[2]Country populations'!AC42,'[2]Country populations'!AN42)</f>
        <v>27</v>
      </c>
      <c r="T41" s="40">
        <f>IF([2]Setup!$B$20=[2]Setup!$U$19,'[2]Country populations'!AD42,'[2]Country populations'!AO42)</f>
        <v>28</v>
      </c>
      <c r="U41" s="40">
        <f>IF([2]Setup!$B$20=[2]Setup!$U$19,'[2]Country populations'!AE42,'[2]Country populations'!AP42)</f>
        <v>30</v>
      </c>
      <c r="V41" s="40">
        <f>IF([2]Setup!$B$20=[2]Setup!$U$19,'[2]Country populations'!AF42,'[2]Country populations'!AQ42)</f>
        <v>31</v>
      </c>
      <c r="W41" s="40">
        <f>IF([2]Setup!$B$20=[2]Setup!$U$19,'[2]Country populations'!AG42,'[2]Country populations'!AR42)</f>
        <v>33</v>
      </c>
      <c r="X41" s="40">
        <f>IF([2]Setup!$B$20=[2]Setup!$U$19,'[2]Country populations'!AH42,'[2]Country populations'!AS42)</f>
        <v>34</v>
      </c>
      <c r="Y41" s="40" t="str">
        <f t="shared" si="3"/>
        <v>Comoros</v>
      </c>
      <c r="Z41" s="40">
        <f>IF([2]Setup!$B$21=[2]Setup!$V$19,'[2]Country populations'!AT42,'[2]Country populations'!BE42)</f>
        <v>12</v>
      </c>
      <c r="AA41" s="40">
        <f>IF([2]Setup!$B$21=[2]Setup!$V$19,'[2]Country populations'!AU42,'[2]Country populations'!BF42)</f>
        <v>13</v>
      </c>
      <c r="AB41" s="40">
        <f>IF([2]Setup!$B$21=[2]Setup!$V$19,'[2]Country populations'!AV42,'[2]Country populations'!BG42)</f>
        <v>14</v>
      </c>
      <c r="AC41" s="40">
        <f>IF([2]Setup!$B$21=[2]Setup!$V$19,'[2]Country populations'!AW42,'[2]Country populations'!BH42)</f>
        <v>15</v>
      </c>
      <c r="AD41" s="40">
        <f>IF([2]Setup!$B$21=[2]Setup!$V$19,'[2]Country populations'!AX42,'[2]Country populations'!BI42)</f>
        <v>16</v>
      </c>
      <c r="AE41" s="40">
        <f>IF([2]Setup!$B$21=[2]Setup!$V$19,'[2]Country populations'!AY42,'[2]Country populations'!BJ42)</f>
        <v>16</v>
      </c>
      <c r="AF41" s="40">
        <f>IF([2]Setup!$B$21=[2]Setup!$V$19,'[2]Country populations'!AZ42,'[2]Country populations'!BK42)</f>
        <v>17</v>
      </c>
      <c r="AG41" s="40">
        <f>IF([2]Setup!$B$21=[2]Setup!$V$19,'[2]Country populations'!BA42,'[2]Country populations'!BL42)</f>
        <v>18</v>
      </c>
      <c r="AH41" s="40">
        <f>IF([2]Setup!$B$21=[2]Setup!$V$19,'[2]Country populations'!BB42,'[2]Country populations'!BM42)</f>
        <v>18</v>
      </c>
      <c r="AI41" s="40">
        <f>IF([2]Setup!$B$21=[2]Setup!$V$19,'[2]Country populations'!BC42,'[2]Country populations'!BN42)</f>
        <v>19</v>
      </c>
      <c r="AJ41" s="40">
        <f>IF([2]Setup!$B$21=[2]Setup!$V$19,'[2]Country populations'!BD42,'[2]Country populations'!BO42)</f>
        <v>19</v>
      </c>
    </row>
    <row r="42" spans="1:36" x14ac:dyDescent="0.25">
      <c r="A42" t="str">
        <f>'[2]Country populations'!A43</f>
        <v>Congo</v>
      </c>
      <c r="B42" s="40">
        <f>IF([2]Setup!$B$19=[2]Setup!$T$19,'[2]Country populations'!B43,'[2]Country populations'!M43)</f>
        <v>72749</v>
      </c>
      <c r="C42" s="40">
        <f>IF([2]Setup!$B$19=[2]Setup!$T$19,'[2]Country populations'!C43,'[2]Country populations'!N43)</f>
        <v>70264</v>
      </c>
      <c r="D42" s="40">
        <f>IF([2]Setup!$B$19=[2]Setup!$T$19,'[2]Country populations'!D43,'[2]Country populations'!O43)</f>
        <v>67731</v>
      </c>
      <c r="E42" s="40">
        <f>IF([2]Setup!$B$19=[2]Setup!$T$19,'[2]Country populations'!E43,'[2]Country populations'!P43)</f>
        <v>65261</v>
      </c>
      <c r="F42" s="40">
        <f>IF([2]Setup!$B$19=[2]Setup!$T$19,'[2]Country populations'!F43,'[2]Country populations'!Q43)</f>
        <v>62922</v>
      </c>
      <c r="G42" s="40">
        <f>IF([2]Setup!$B$19=[2]Setup!$T$19,'[2]Country populations'!G43,'[2]Country populations'!R43)</f>
        <v>60904</v>
      </c>
      <c r="H42" s="40">
        <f>IF([2]Setup!$B$19=[2]Setup!$T$19,'[2]Country populations'!H43,'[2]Country populations'!S43)</f>
        <v>59154</v>
      </c>
      <c r="I42" s="40">
        <f>IF([2]Setup!$B$19=[2]Setup!$T$19,'[2]Country populations'!I43,'[2]Country populations'!T43)</f>
        <v>57638</v>
      </c>
      <c r="J42" s="40">
        <f>IF([2]Setup!$B$19=[2]Setup!$T$19,'[2]Country populations'!J43,'[2]Country populations'!U43)</f>
        <v>56369</v>
      </c>
      <c r="K42" s="40">
        <f>IF([2]Setup!$B$19=[2]Setup!$T$19,'[2]Country populations'!K43,'[2]Country populations'!V43)</f>
        <v>55363</v>
      </c>
      <c r="L42" s="40">
        <f>IF([2]Setup!$B$19=[2]Setup!$T$19,'[2]Country populations'!L43,'[2]Country populations'!W43)</f>
        <v>54572</v>
      </c>
      <c r="M42" s="40" t="str">
        <f t="shared" si="2"/>
        <v>Congo</v>
      </c>
      <c r="N42" s="40">
        <f>IF([2]Setup!$B$20=[2]Setup!$U$19,'[2]Country populations'!X43,'[2]Country populations'!AI43)</f>
        <v>9700</v>
      </c>
      <c r="O42" s="40">
        <f>IF([2]Setup!$B$20=[2]Setup!$U$19,'[2]Country populations'!Y43,'[2]Country populations'!AJ43)</f>
        <v>9356</v>
      </c>
      <c r="P42" s="40">
        <f>IF([2]Setup!$B$20=[2]Setup!$U$19,'[2]Country populations'!Z43,'[2]Country populations'!AK43)</f>
        <v>9013</v>
      </c>
      <c r="Q42" s="40">
        <f>IF([2]Setup!$B$20=[2]Setup!$U$19,'[2]Country populations'!AA43,'[2]Country populations'!AL43)</f>
        <v>8688</v>
      </c>
      <c r="R42" s="40">
        <f>IF([2]Setup!$B$20=[2]Setup!$U$19,'[2]Country populations'!AB43,'[2]Country populations'!AM43)</f>
        <v>8348</v>
      </c>
      <c r="S42" s="40">
        <f>IF([2]Setup!$B$20=[2]Setup!$U$19,'[2]Country populations'!AC43,'[2]Country populations'!AN43)</f>
        <v>7987</v>
      </c>
      <c r="T42" s="40">
        <f>IF([2]Setup!$B$20=[2]Setup!$U$19,'[2]Country populations'!AD43,'[2]Country populations'!AO43)</f>
        <v>7615</v>
      </c>
      <c r="U42" s="40">
        <f>IF([2]Setup!$B$20=[2]Setup!$U$19,'[2]Country populations'!AE43,'[2]Country populations'!AP43)</f>
        <v>7225</v>
      </c>
      <c r="V42" s="40">
        <f>IF([2]Setup!$B$20=[2]Setup!$U$19,'[2]Country populations'!AF43,'[2]Country populations'!AQ43)</f>
        <v>6818</v>
      </c>
      <c r="W42" s="40">
        <f>IF([2]Setup!$B$20=[2]Setup!$U$19,'[2]Country populations'!AG43,'[2]Country populations'!AR43)</f>
        <v>6395</v>
      </c>
      <c r="X42" s="40">
        <f>IF([2]Setup!$B$20=[2]Setup!$U$19,'[2]Country populations'!AH43,'[2]Country populations'!AS43)</f>
        <v>6006</v>
      </c>
      <c r="Y42" s="40" t="str">
        <f t="shared" si="3"/>
        <v>Congo</v>
      </c>
      <c r="Z42" s="40">
        <f>IF([2]Setup!$B$21=[2]Setup!$V$19,'[2]Country populations'!AT43,'[2]Country populations'!BE43)</f>
        <v>4082</v>
      </c>
      <c r="AA42" s="40">
        <f>IF([2]Setup!$B$21=[2]Setup!$V$19,'[2]Country populations'!AU43,'[2]Country populations'!BF43)</f>
        <v>3823</v>
      </c>
      <c r="AB42" s="40">
        <f>IF([2]Setup!$B$21=[2]Setup!$V$19,'[2]Country populations'!AV43,'[2]Country populations'!BG43)</f>
        <v>3576</v>
      </c>
      <c r="AC42" s="40">
        <f>IF([2]Setup!$B$21=[2]Setup!$V$19,'[2]Country populations'!AW43,'[2]Country populations'!BH43)</f>
        <v>3343</v>
      </c>
      <c r="AD42" s="40">
        <f>IF([2]Setup!$B$21=[2]Setup!$V$19,'[2]Country populations'!AX43,'[2]Country populations'!BI43)</f>
        <v>3125</v>
      </c>
      <c r="AE42" s="40">
        <f>IF([2]Setup!$B$21=[2]Setup!$V$19,'[2]Country populations'!AY43,'[2]Country populations'!BJ43)</f>
        <v>2928</v>
      </c>
      <c r="AF42" s="40">
        <f>IF([2]Setup!$B$21=[2]Setup!$V$19,'[2]Country populations'!AZ43,'[2]Country populations'!BK43)</f>
        <v>2758</v>
      </c>
      <c r="AG42" s="40">
        <f>IF([2]Setup!$B$21=[2]Setup!$V$19,'[2]Country populations'!BA43,'[2]Country populations'!BL43)</f>
        <v>2615</v>
      </c>
      <c r="AH42" s="40">
        <f>IF([2]Setup!$B$21=[2]Setup!$V$19,'[2]Country populations'!BB43,'[2]Country populations'!BM43)</f>
        <v>2498</v>
      </c>
      <c r="AI42" s="40">
        <f>IF([2]Setup!$B$21=[2]Setup!$V$19,'[2]Country populations'!BC43,'[2]Country populations'!BN43)</f>
        <v>2403</v>
      </c>
      <c r="AJ42" s="40">
        <f>IF([2]Setup!$B$21=[2]Setup!$V$19,'[2]Country populations'!BD43,'[2]Country populations'!BO43)</f>
        <v>2331</v>
      </c>
    </row>
    <row r="43" spans="1:36" x14ac:dyDescent="0.25">
      <c r="A43" t="str">
        <f>'[2]Country populations'!A44</f>
        <v>Costa Rica</v>
      </c>
      <c r="B43" s="40">
        <f>IF([2]Setup!$B$19=[2]Setup!$T$19,'[2]Country populations'!B44,'[2]Country populations'!M44)</f>
        <v>8169</v>
      </c>
      <c r="C43" s="40">
        <f>IF([2]Setup!$B$19=[2]Setup!$T$19,'[2]Country populations'!C44,'[2]Country populations'!N44)</f>
        <v>8305</v>
      </c>
      <c r="D43" s="40">
        <f>IF([2]Setup!$B$19=[2]Setup!$T$19,'[2]Country populations'!D44,'[2]Country populations'!O44)</f>
        <v>8438</v>
      </c>
      <c r="E43" s="40">
        <f>IF([2]Setup!$B$19=[2]Setup!$T$19,'[2]Country populations'!E44,'[2]Country populations'!P44)</f>
        <v>8553</v>
      </c>
      <c r="F43" s="40">
        <f>IF([2]Setup!$B$19=[2]Setup!$T$19,'[2]Country populations'!F44,'[2]Country populations'!Q44)</f>
        <v>8657</v>
      </c>
      <c r="G43" s="40">
        <f>IF([2]Setup!$B$19=[2]Setup!$T$19,'[2]Country populations'!G44,'[2]Country populations'!R44)</f>
        <v>8752</v>
      </c>
      <c r="H43" s="40">
        <f>IF([2]Setup!$B$19=[2]Setup!$T$19,'[2]Country populations'!H44,'[2]Country populations'!S44)</f>
        <v>8847</v>
      </c>
      <c r="I43" s="40">
        <f>IF([2]Setup!$B$19=[2]Setup!$T$19,'[2]Country populations'!I44,'[2]Country populations'!T44)</f>
        <v>8940</v>
      </c>
      <c r="J43" s="40">
        <f>IF([2]Setup!$B$19=[2]Setup!$T$19,'[2]Country populations'!J44,'[2]Country populations'!U44)</f>
        <v>9031</v>
      </c>
      <c r="K43" s="40">
        <f>IF([2]Setup!$B$19=[2]Setup!$T$19,'[2]Country populations'!K44,'[2]Country populations'!V44)</f>
        <v>9119</v>
      </c>
      <c r="L43" s="40">
        <f>IF([2]Setup!$B$19=[2]Setup!$T$19,'[2]Country populations'!L44,'[2]Country populations'!W44)</f>
        <v>9204</v>
      </c>
      <c r="M43" s="40" t="str">
        <f t="shared" si="2"/>
        <v>Costa Rica</v>
      </c>
      <c r="N43" s="40">
        <f>IF([2]Setup!$B$20=[2]Setup!$U$19,'[2]Country populations'!X44,'[2]Country populations'!AI44)</f>
        <v>125</v>
      </c>
      <c r="O43" s="40">
        <f>IF([2]Setup!$B$20=[2]Setup!$U$19,'[2]Country populations'!Y44,'[2]Country populations'!AJ44)</f>
        <v>120</v>
      </c>
      <c r="P43" s="40">
        <f>IF([2]Setup!$B$20=[2]Setup!$U$19,'[2]Country populations'!Z44,'[2]Country populations'!AK44)</f>
        <v>113</v>
      </c>
      <c r="Q43" s="40">
        <f>IF([2]Setup!$B$20=[2]Setup!$U$19,'[2]Country populations'!AA44,'[2]Country populations'!AL44)</f>
        <v>106</v>
      </c>
      <c r="R43" s="40">
        <f>IF([2]Setup!$B$20=[2]Setup!$U$19,'[2]Country populations'!AB44,'[2]Country populations'!AM44)</f>
        <v>97</v>
      </c>
      <c r="S43" s="40">
        <f>IF([2]Setup!$B$20=[2]Setup!$U$19,'[2]Country populations'!AC44,'[2]Country populations'!AN44)</f>
        <v>88</v>
      </c>
      <c r="T43" s="40">
        <f>IF([2]Setup!$B$20=[2]Setup!$U$19,'[2]Country populations'!AD44,'[2]Country populations'!AO44)</f>
        <v>80</v>
      </c>
      <c r="U43" s="40">
        <f>IF([2]Setup!$B$20=[2]Setup!$U$19,'[2]Country populations'!AE44,'[2]Country populations'!AP44)</f>
        <v>71</v>
      </c>
      <c r="V43" s="40">
        <f>IF([2]Setup!$B$20=[2]Setup!$U$19,'[2]Country populations'!AF44,'[2]Country populations'!AQ44)</f>
        <v>64</v>
      </c>
      <c r="W43" s="40">
        <f>IF([2]Setup!$B$20=[2]Setup!$U$19,'[2]Country populations'!AG44,'[2]Country populations'!AR44)</f>
        <v>56</v>
      </c>
      <c r="X43" s="40">
        <f>IF([2]Setup!$B$20=[2]Setup!$U$19,'[2]Country populations'!AH44,'[2]Country populations'!AS44)</f>
        <v>50</v>
      </c>
      <c r="Y43" s="40" t="str">
        <f t="shared" si="3"/>
        <v>Costa Rica</v>
      </c>
      <c r="Z43" s="40">
        <f>IF([2]Setup!$B$21=[2]Setup!$V$19,'[2]Country populations'!AT44,'[2]Country populations'!BE44)</f>
        <v>33</v>
      </c>
      <c r="AA43" s="40">
        <f>IF([2]Setup!$B$21=[2]Setup!$V$19,'[2]Country populations'!AU44,'[2]Country populations'!BF44)</f>
        <v>32</v>
      </c>
      <c r="AB43" s="40">
        <f>IF([2]Setup!$B$21=[2]Setup!$V$19,'[2]Country populations'!AV44,'[2]Country populations'!BG44)</f>
        <v>30</v>
      </c>
      <c r="AC43" s="40">
        <f>IF([2]Setup!$B$21=[2]Setup!$V$19,'[2]Country populations'!AW44,'[2]Country populations'!BH44)</f>
        <v>29</v>
      </c>
      <c r="AD43" s="40">
        <f>IF([2]Setup!$B$21=[2]Setup!$V$19,'[2]Country populations'!AX44,'[2]Country populations'!BI44)</f>
        <v>28</v>
      </c>
      <c r="AE43" s="40">
        <f>IF([2]Setup!$B$21=[2]Setup!$V$19,'[2]Country populations'!AY44,'[2]Country populations'!BJ44)</f>
        <v>27</v>
      </c>
      <c r="AF43" s="40">
        <f>IF([2]Setup!$B$21=[2]Setup!$V$19,'[2]Country populations'!AZ44,'[2]Country populations'!BK44)</f>
        <v>26</v>
      </c>
      <c r="AG43" s="40">
        <f>IF([2]Setup!$B$21=[2]Setup!$V$19,'[2]Country populations'!BA44,'[2]Country populations'!BL44)</f>
        <v>24</v>
      </c>
      <c r="AH43" s="40">
        <f>IF([2]Setup!$B$21=[2]Setup!$V$19,'[2]Country populations'!BB44,'[2]Country populations'!BM44)</f>
        <v>23</v>
      </c>
      <c r="AI43" s="40">
        <f>IF([2]Setup!$B$21=[2]Setup!$V$19,'[2]Country populations'!BC44,'[2]Country populations'!BN44)</f>
        <v>23</v>
      </c>
      <c r="AJ43" s="40">
        <f>IF([2]Setup!$B$21=[2]Setup!$V$19,'[2]Country populations'!BD44,'[2]Country populations'!BO44)</f>
        <v>22</v>
      </c>
    </row>
    <row r="44" spans="1:36" x14ac:dyDescent="0.25">
      <c r="A44" t="str">
        <f>'[2]Country populations'!A45</f>
        <v>Côte d'Ivoire</v>
      </c>
      <c r="B44" s="40">
        <f>IF([2]Setup!$B$19=[2]Setup!$T$19,'[2]Country populations'!B45,'[2]Country populations'!M45)</f>
        <v>346806</v>
      </c>
      <c r="C44" s="40">
        <f>IF([2]Setup!$B$19=[2]Setup!$T$19,'[2]Country populations'!C45,'[2]Country populations'!N45)</f>
        <v>345723</v>
      </c>
      <c r="D44" s="40">
        <f>IF([2]Setup!$B$19=[2]Setup!$T$19,'[2]Country populations'!D45,'[2]Country populations'!O45)</f>
        <v>345518</v>
      </c>
      <c r="E44" s="40">
        <f>IF([2]Setup!$B$19=[2]Setup!$T$19,'[2]Country populations'!E45,'[2]Country populations'!P45)</f>
        <v>344251</v>
      </c>
      <c r="F44" s="40">
        <f>IF([2]Setup!$B$19=[2]Setup!$T$19,'[2]Country populations'!F45,'[2]Country populations'!Q45)</f>
        <v>341406</v>
      </c>
      <c r="G44" s="40">
        <f>IF([2]Setup!$B$19=[2]Setup!$T$19,'[2]Country populations'!G45,'[2]Country populations'!R45)</f>
        <v>337683</v>
      </c>
      <c r="H44" s="40">
        <f>IF([2]Setup!$B$19=[2]Setup!$T$19,'[2]Country populations'!H45,'[2]Country populations'!S45)</f>
        <v>333901</v>
      </c>
      <c r="I44" s="40">
        <f>IF([2]Setup!$B$19=[2]Setup!$T$19,'[2]Country populations'!I45,'[2]Country populations'!T45)</f>
        <v>330199</v>
      </c>
      <c r="J44" s="40">
        <f>IF([2]Setup!$B$19=[2]Setup!$T$19,'[2]Country populations'!J45,'[2]Country populations'!U45)</f>
        <v>326624</v>
      </c>
      <c r="K44" s="40">
        <f>IF([2]Setup!$B$19=[2]Setup!$T$19,'[2]Country populations'!K45,'[2]Country populations'!V45)</f>
        <v>323205</v>
      </c>
      <c r="L44" s="40">
        <f>IF([2]Setup!$B$19=[2]Setup!$T$19,'[2]Country populations'!L45,'[2]Country populations'!W45)</f>
        <v>319922</v>
      </c>
      <c r="M44" s="40" t="str">
        <f t="shared" si="2"/>
        <v>Côte d'Ivoire</v>
      </c>
      <c r="N44" s="40">
        <f>IF([2]Setup!$B$20=[2]Setup!$U$19,'[2]Country populations'!X45,'[2]Country populations'!AI45)</f>
        <v>53363</v>
      </c>
      <c r="O44" s="40">
        <f>IF([2]Setup!$B$20=[2]Setup!$U$19,'[2]Country populations'!Y45,'[2]Country populations'!AJ45)</f>
        <v>47095</v>
      </c>
      <c r="P44" s="40">
        <f>IF([2]Setup!$B$20=[2]Setup!$U$19,'[2]Country populations'!Z45,'[2]Country populations'!AK45)</f>
        <v>41273</v>
      </c>
      <c r="Q44" s="40">
        <f>IF([2]Setup!$B$20=[2]Setup!$U$19,'[2]Country populations'!AA45,'[2]Country populations'!AL45)</f>
        <v>35861</v>
      </c>
      <c r="R44" s="40">
        <f>IF([2]Setup!$B$20=[2]Setup!$U$19,'[2]Country populations'!AB45,'[2]Country populations'!AM45)</f>
        <v>31329</v>
      </c>
      <c r="S44" s="40">
        <f>IF([2]Setup!$B$20=[2]Setup!$U$19,'[2]Country populations'!AC45,'[2]Country populations'!AN45)</f>
        <v>27172</v>
      </c>
      <c r="T44" s="40">
        <f>IF([2]Setup!$B$20=[2]Setup!$U$19,'[2]Country populations'!AD45,'[2]Country populations'!AO45)</f>
        <v>23428</v>
      </c>
      <c r="U44" s="40">
        <f>IF([2]Setup!$B$20=[2]Setup!$U$19,'[2]Country populations'!AE45,'[2]Country populations'!AP45)</f>
        <v>20027</v>
      </c>
      <c r="V44" s="40">
        <f>IF([2]Setup!$B$20=[2]Setup!$U$19,'[2]Country populations'!AF45,'[2]Country populations'!AQ45)</f>
        <v>17004</v>
      </c>
      <c r="W44" s="40">
        <f>IF([2]Setup!$B$20=[2]Setup!$U$19,'[2]Country populations'!AG45,'[2]Country populations'!AR45)</f>
        <v>14419</v>
      </c>
      <c r="X44" s="40">
        <f>IF([2]Setup!$B$20=[2]Setup!$U$19,'[2]Country populations'!AH45,'[2]Country populations'!AS45)</f>
        <v>12249</v>
      </c>
      <c r="Y44" s="40" t="str">
        <f t="shared" si="3"/>
        <v>Côte d'Ivoire</v>
      </c>
      <c r="Z44" s="40">
        <f>IF([2]Setup!$B$21=[2]Setup!$V$19,'[2]Country populations'!AT45,'[2]Country populations'!BE45)</f>
        <v>22320</v>
      </c>
      <c r="AA44" s="40">
        <f>IF([2]Setup!$B$21=[2]Setup!$V$19,'[2]Country populations'!AU45,'[2]Country populations'!BF45)</f>
        <v>21145</v>
      </c>
      <c r="AB44" s="40">
        <f>IF([2]Setup!$B$21=[2]Setup!$V$19,'[2]Country populations'!AV45,'[2]Country populations'!BG45)</f>
        <v>20080</v>
      </c>
      <c r="AC44" s="40">
        <f>IF([2]Setup!$B$21=[2]Setup!$V$19,'[2]Country populations'!AW45,'[2]Country populations'!BH45)</f>
        <v>19236</v>
      </c>
      <c r="AD44" s="40">
        <f>IF([2]Setup!$B$21=[2]Setup!$V$19,'[2]Country populations'!AX45,'[2]Country populations'!BI45)</f>
        <v>18442</v>
      </c>
      <c r="AE44" s="40">
        <f>IF([2]Setup!$B$21=[2]Setup!$V$19,'[2]Country populations'!AY45,'[2]Country populations'!BJ45)</f>
        <v>17635</v>
      </c>
      <c r="AF44" s="40">
        <f>IF([2]Setup!$B$21=[2]Setup!$V$19,'[2]Country populations'!AZ45,'[2]Country populations'!BK45)</f>
        <v>16856</v>
      </c>
      <c r="AG44" s="40">
        <f>IF([2]Setup!$B$21=[2]Setup!$V$19,'[2]Country populations'!BA45,'[2]Country populations'!BL45)</f>
        <v>16135</v>
      </c>
      <c r="AH44" s="40">
        <f>IF([2]Setup!$B$21=[2]Setup!$V$19,'[2]Country populations'!BB45,'[2]Country populations'!BM45)</f>
        <v>15458</v>
      </c>
      <c r="AI44" s="40">
        <f>IF([2]Setup!$B$21=[2]Setup!$V$19,'[2]Country populations'!BC45,'[2]Country populations'!BN45)</f>
        <v>14822</v>
      </c>
      <c r="AJ44" s="40">
        <f>IF([2]Setup!$B$21=[2]Setup!$V$19,'[2]Country populations'!BD45,'[2]Country populations'!BO45)</f>
        <v>14229</v>
      </c>
    </row>
    <row r="45" spans="1:36" x14ac:dyDescent="0.25">
      <c r="A45" t="str">
        <f>'[2]Country populations'!A46</f>
        <v>Croatia</v>
      </c>
      <c r="B45" s="40">
        <f>IF([2]Setup!$B$19=[2]Setup!$T$19,'[2]Country populations'!B46,'[2]Country populations'!M46)</f>
        <v>1501</v>
      </c>
      <c r="C45" s="40">
        <f>IF([2]Setup!$B$19=[2]Setup!$T$19,'[2]Country populations'!C46,'[2]Country populations'!N46)</f>
        <v>1597</v>
      </c>
      <c r="D45" s="40">
        <f>IF([2]Setup!$B$19=[2]Setup!$T$19,'[2]Country populations'!D46,'[2]Country populations'!O46)</f>
        <v>1694</v>
      </c>
      <c r="E45" s="40">
        <f>IF([2]Setup!$B$19=[2]Setup!$T$19,'[2]Country populations'!E46,'[2]Country populations'!P46)</f>
        <v>1790</v>
      </c>
      <c r="F45" s="40">
        <f>IF([2]Setup!$B$19=[2]Setup!$T$19,'[2]Country populations'!F46,'[2]Country populations'!Q46)</f>
        <v>1887</v>
      </c>
      <c r="G45" s="40">
        <f>IF([2]Setup!$B$19=[2]Setup!$T$19,'[2]Country populations'!G46,'[2]Country populations'!R46)</f>
        <v>1984</v>
      </c>
      <c r="H45" s="40">
        <f>IF([2]Setup!$B$19=[2]Setup!$T$19,'[2]Country populations'!H46,'[2]Country populations'!S46)</f>
        <v>2078</v>
      </c>
      <c r="I45" s="40">
        <f>IF([2]Setup!$B$19=[2]Setup!$T$19,'[2]Country populations'!I46,'[2]Country populations'!T46)</f>
        <v>2169</v>
      </c>
      <c r="J45" s="40">
        <f>IF([2]Setup!$B$19=[2]Setup!$T$19,'[2]Country populations'!J46,'[2]Country populations'!U46)</f>
        <v>2257</v>
      </c>
      <c r="K45" s="40">
        <f>IF([2]Setup!$B$19=[2]Setup!$T$19,'[2]Country populations'!K46,'[2]Country populations'!V46)</f>
        <v>2342</v>
      </c>
      <c r="L45" s="40">
        <f>IF([2]Setup!$B$19=[2]Setup!$T$19,'[2]Country populations'!L46,'[2]Country populations'!W46)</f>
        <v>2424</v>
      </c>
      <c r="M45" s="40" t="str">
        <f t="shared" si="2"/>
        <v>Croatia</v>
      </c>
      <c r="N45" s="40">
        <f>IF([2]Setup!$B$20=[2]Setup!$U$19,'[2]Country populations'!X46,'[2]Country populations'!AI46)</f>
        <v>12</v>
      </c>
      <c r="O45" s="40">
        <f>IF([2]Setup!$B$20=[2]Setup!$U$19,'[2]Country populations'!Y46,'[2]Country populations'!AJ46)</f>
        <v>13</v>
      </c>
      <c r="P45" s="40">
        <f>IF([2]Setup!$B$20=[2]Setup!$U$19,'[2]Country populations'!Z46,'[2]Country populations'!AK46)</f>
        <v>13</v>
      </c>
      <c r="Q45" s="40">
        <f>IF([2]Setup!$B$20=[2]Setup!$U$19,'[2]Country populations'!AA46,'[2]Country populations'!AL46)</f>
        <v>14</v>
      </c>
      <c r="R45" s="40">
        <f>IF([2]Setup!$B$20=[2]Setup!$U$19,'[2]Country populations'!AB46,'[2]Country populations'!AM46)</f>
        <v>15</v>
      </c>
      <c r="S45" s="40">
        <f>IF([2]Setup!$B$20=[2]Setup!$U$19,'[2]Country populations'!AC46,'[2]Country populations'!AN46)</f>
        <v>16</v>
      </c>
      <c r="T45" s="40">
        <f>IF([2]Setup!$B$20=[2]Setup!$U$19,'[2]Country populations'!AD46,'[2]Country populations'!AO46)</f>
        <v>16</v>
      </c>
      <c r="U45" s="40">
        <f>IF([2]Setup!$B$20=[2]Setup!$U$19,'[2]Country populations'!AE46,'[2]Country populations'!AP46)</f>
        <v>17</v>
      </c>
      <c r="V45" s="40">
        <f>IF([2]Setup!$B$20=[2]Setup!$U$19,'[2]Country populations'!AF46,'[2]Country populations'!AQ46)</f>
        <v>18</v>
      </c>
      <c r="W45" s="40">
        <f>IF([2]Setup!$B$20=[2]Setup!$U$19,'[2]Country populations'!AG46,'[2]Country populations'!AR46)</f>
        <v>18</v>
      </c>
      <c r="X45" s="40">
        <f>IF([2]Setup!$B$20=[2]Setup!$U$19,'[2]Country populations'!AH46,'[2]Country populations'!AS46)</f>
        <v>19</v>
      </c>
      <c r="Y45" s="40" t="str">
        <f t="shared" si="3"/>
        <v>Croatia</v>
      </c>
      <c r="Z45" s="40">
        <f>IF([2]Setup!$B$21=[2]Setup!$V$19,'[2]Country populations'!AT46,'[2]Country populations'!BE46)</f>
        <v>6</v>
      </c>
      <c r="AA45" s="40">
        <f>IF([2]Setup!$B$21=[2]Setup!$V$19,'[2]Country populations'!AU46,'[2]Country populations'!BF46)</f>
        <v>6</v>
      </c>
      <c r="AB45" s="40">
        <f>IF([2]Setup!$B$21=[2]Setup!$V$19,'[2]Country populations'!AV46,'[2]Country populations'!BG46)</f>
        <v>6</v>
      </c>
      <c r="AC45" s="40">
        <f>IF([2]Setup!$B$21=[2]Setup!$V$19,'[2]Country populations'!AW46,'[2]Country populations'!BH46)</f>
        <v>6</v>
      </c>
      <c r="AD45" s="40">
        <f>IF([2]Setup!$B$21=[2]Setup!$V$19,'[2]Country populations'!AX46,'[2]Country populations'!BI46)</f>
        <v>7</v>
      </c>
      <c r="AE45" s="40">
        <f>IF([2]Setup!$B$21=[2]Setup!$V$19,'[2]Country populations'!AY46,'[2]Country populations'!BJ46)</f>
        <v>7</v>
      </c>
      <c r="AF45" s="40">
        <f>IF([2]Setup!$B$21=[2]Setup!$V$19,'[2]Country populations'!AZ46,'[2]Country populations'!BK46)</f>
        <v>7</v>
      </c>
      <c r="AG45" s="40">
        <f>IF([2]Setup!$B$21=[2]Setup!$V$19,'[2]Country populations'!BA46,'[2]Country populations'!BL46)</f>
        <v>7</v>
      </c>
      <c r="AH45" s="40">
        <f>IF([2]Setup!$B$21=[2]Setup!$V$19,'[2]Country populations'!BB46,'[2]Country populations'!BM46)</f>
        <v>7</v>
      </c>
      <c r="AI45" s="40">
        <f>IF([2]Setup!$B$21=[2]Setup!$V$19,'[2]Country populations'!BC46,'[2]Country populations'!BN46)</f>
        <v>7</v>
      </c>
      <c r="AJ45" s="40">
        <f>IF([2]Setup!$B$21=[2]Setup!$V$19,'[2]Country populations'!BD46,'[2]Country populations'!BO46)</f>
        <v>8</v>
      </c>
    </row>
    <row r="46" spans="1:36" x14ac:dyDescent="0.25">
      <c r="A46" t="str">
        <f>'[2]Country populations'!A47</f>
        <v>Cuba</v>
      </c>
      <c r="B46" s="40">
        <f>IF([2]Setup!$B$19=[2]Setup!$T$19,'[2]Country populations'!B47,'[2]Country populations'!M47)</f>
        <v>21701</v>
      </c>
      <c r="C46" s="40">
        <f>IF([2]Setup!$B$19=[2]Setup!$T$19,'[2]Country populations'!C47,'[2]Country populations'!N47)</f>
        <v>22934</v>
      </c>
      <c r="D46" s="40">
        <f>IF([2]Setup!$B$19=[2]Setup!$T$19,'[2]Country populations'!D47,'[2]Country populations'!O47)</f>
        <v>24194</v>
      </c>
      <c r="E46" s="40">
        <f>IF([2]Setup!$B$19=[2]Setup!$T$19,'[2]Country populations'!E47,'[2]Country populations'!P47)</f>
        <v>25501</v>
      </c>
      <c r="F46" s="40">
        <f>IF([2]Setup!$B$19=[2]Setup!$T$19,'[2]Country populations'!F47,'[2]Country populations'!Q47)</f>
        <v>26847</v>
      </c>
      <c r="G46" s="40">
        <f>IF([2]Setup!$B$19=[2]Setup!$T$19,'[2]Country populations'!G47,'[2]Country populations'!R47)</f>
        <v>28244</v>
      </c>
      <c r="H46" s="40">
        <f>IF([2]Setup!$B$19=[2]Setup!$T$19,'[2]Country populations'!H47,'[2]Country populations'!S47)</f>
        <v>29600</v>
      </c>
      <c r="I46" s="40">
        <f>IF([2]Setup!$B$19=[2]Setup!$T$19,'[2]Country populations'!I47,'[2]Country populations'!T47)</f>
        <v>30888</v>
      </c>
      <c r="J46" s="40">
        <f>IF([2]Setup!$B$19=[2]Setup!$T$19,'[2]Country populations'!J47,'[2]Country populations'!U47)</f>
        <v>32110</v>
      </c>
      <c r="K46" s="40">
        <f>IF([2]Setup!$B$19=[2]Setup!$T$19,'[2]Country populations'!K47,'[2]Country populations'!V47)</f>
        <v>33267</v>
      </c>
      <c r="L46" s="40">
        <f>IF([2]Setup!$B$19=[2]Setup!$T$19,'[2]Country populations'!L47,'[2]Country populations'!W47)</f>
        <v>34371</v>
      </c>
      <c r="M46" s="40" t="str">
        <f t="shared" si="2"/>
        <v>Cuba</v>
      </c>
      <c r="N46" s="40">
        <f>IF([2]Setup!$B$20=[2]Setup!$U$19,'[2]Country populations'!X47,'[2]Country populations'!AI47)</f>
        <v>103</v>
      </c>
      <c r="O46" s="40">
        <f>IF([2]Setup!$B$20=[2]Setup!$U$19,'[2]Country populations'!Y47,'[2]Country populations'!AJ47)</f>
        <v>98</v>
      </c>
      <c r="P46" s="40">
        <f>IF([2]Setup!$B$20=[2]Setup!$U$19,'[2]Country populations'!Z47,'[2]Country populations'!AK47)</f>
        <v>95</v>
      </c>
      <c r="Q46" s="40">
        <f>IF([2]Setup!$B$20=[2]Setup!$U$19,'[2]Country populations'!AA47,'[2]Country populations'!AL47)</f>
        <v>94</v>
      </c>
      <c r="R46" s="40">
        <f>IF([2]Setup!$B$20=[2]Setup!$U$19,'[2]Country populations'!AB47,'[2]Country populations'!AM47)</f>
        <v>93</v>
      </c>
      <c r="S46" s="40">
        <f>IF([2]Setup!$B$20=[2]Setup!$U$19,'[2]Country populations'!AC47,'[2]Country populations'!AN47)</f>
        <v>92</v>
      </c>
      <c r="T46" s="40">
        <f>IF([2]Setup!$B$20=[2]Setup!$U$19,'[2]Country populations'!AD47,'[2]Country populations'!AO47)</f>
        <v>91</v>
      </c>
      <c r="U46" s="40">
        <f>IF([2]Setup!$B$20=[2]Setup!$U$19,'[2]Country populations'!AE47,'[2]Country populations'!AP47)</f>
        <v>94</v>
      </c>
      <c r="V46" s="40">
        <f>IF([2]Setup!$B$20=[2]Setup!$U$19,'[2]Country populations'!AF47,'[2]Country populations'!AQ47)</f>
        <v>98</v>
      </c>
      <c r="W46" s="40">
        <f>IF([2]Setup!$B$20=[2]Setup!$U$19,'[2]Country populations'!AG47,'[2]Country populations'!AR47)</f>
        <v>105</v>
      </c>
      <c r="X46" s="40">
        <f>IF([2]Setup!$B$20=[2]Setup!$U$19,'[2]Country populations'!AH47,'[2]Country populations'!AS47)</f>
        <v>113</v>
      </c>
      <c r="Y46" s="40" t="str">
        <f t="shared" si="3"/>
        <v>Cuba</v>
      </c>
      <c r="Z46" s="40">
        <f>IF([2]Setup!$B$21=[2]Setup!$V$19,'[2]Country populations'!AT47,'[2]Country populations'!BE47)</f>
        <v>98</v>
      </c>
      <c r="AA46" s="40">
        <f>IF([2]Setup!$B$21=[2]Setup!$V$19,'[2]Country populations'!AU47,'[2]Country populations'!BF47)</f>
        <v>102</v>
      </c>
      <c r="AB46" s="40">
        <f>IF([2]Setup!$B$21=[2]Setup!$V$19,'[2]Country populations'!AV47,'[2]Country populations'!BG47)</f>
        <v>106</v>
      </c>
      <c r="AC46" s="40">
        <f>IF([2]Setup!$B$21=[2]Setup!$V$19,'[2]Country populations'!AW47,'[2]Country populations'!BH47)</f>
        <v>110</v>
      </c>
      <c r="AD46" s="40">
        <f>IF([2]Setup!$B$21=[2]Setup!$V$19,'[2]Country populations'!AX47,'[2]Country populations'!BI47)</f>
        <v>115</v>
      </c>
      <c r="AE46" s="40">
        <f>IF([2]Setup!$B$21=[2]Setup!$V$19,'[2]Country populations'!AY47,'[2]Country populations'!BJ47)</f>
        <v>120</v>
      </c>
      <c r="AF46" s="40">
        <f>IF([2]Setup!$B$21=[2]Setup!$V$19,'[2]Country populations'!AZ47,'[2]Country populations'!BK47)</f>
        <v>126</v>
      </c>
      <c r="AG46" s="40">
        <f>IF([2]Setup!$B$21=[2]Setup!$V$19,'[2]Country populations'!BA47,'[2]Country populations'!BL47)</f>
        <v>130</v>
      </c>
      <c r="AH46" s="40">
        <f>IF([2]Setup!$B$21=[2]Setup!$V$19,'[2]Country populations'!BB47,'[2]Country populations'!BM47)</f>
        <v>133</v>
      </c>
      <c r="AI46" s="40">
        <f>IF([2]Setup!$B$21=[2]Setup!$V$19,'[2]Country populations'!BC47,'[2]Country populations'!BN47)</f>
        <v>136</v>
      </c>
      <c r="AJ46" s="40">
        <f>IF([2]Setup!$B$21=[2]Setup!$V$19,'[2]Country populations'!BD47,'[2]Country populations'!BO47)</f>
        <v>137</v>
      </c>
    </row>
    <row r="47" spans="1:36" x14ac:dyDescent="0.25">
      <c r="A47" t="str">
        <f>'[2]Country populations'!A48</f>
        <v>Curacao</v>
      </c>
      <c r="B47" s="40">
        <f>IF([2]Setup!$B$19=[2]Setup!$T$19,'[2]Country populations'!B48,'[2]Country populations'!M48)</f>
        <v>0</v>
      </c>
      <c r="C47" s="40">
        <f>IF([2]Setup!$B$19=[2]Setup!$T$19,'[2]Country populations'!C48,'[2]Country populations'!N48)</f>
        <v>0</v>
      </c>
      <c r="D47" s="40">
        <f>IF([2]Setup!$B$19=[2]Setup!$T$19,'[2]Country populations'!D48,'[2]Country populations'!O48)</f>
        <v>0</v>
      </c>
      <c r="E47" s="40">
        <f>IF([2]Setup!$B$19=[2]Setup!$T$19,'[2]Country populations'!E48,'[2]Country populations'!P48)</f>
        <v>0</v>
      </c>
      <c r="F47" s="40">
        <f>IF([2]Setup!$B$19=[2]Setup!$T$19,'[2]Country populations'!F48,'[2]Country populations'!Q48)</f>
        <v>0</v>
      </c>
      <c r="G47" s="40">
        <f>IF([2]Setup!$B$19=[2]Setup!$T$19,'[2]Country populations'!G48,'[2]Country populations'!R48)</f>
        <v>0</v>
      </c>
      <c r="H47" s="40">
        <f>IF([2]Setup!$B$19=[2]Setup!$T$19,'[2]Country populations'!H48,'[2]Country populations'!S48)</f>
        <v>0</v>
      </c>
      <c r="I47" s="40">
        <f>IF([2]Setup!$B$19=[2]Setup!$T$19,'[2]Country populations'!I48,'[2]Country populations'!T48)</f>
        <v>0</v>
      </c>
      <c r="J47" s="40">
        <f>IF([2]Setup!$B$19=[2]Setup!$T$19,'[2]Country populations'!J48,'[2]Country populations'!U48)</f>
        <v>0</v>
      </c>
      <c r="K47" s="40">
        <f>IF([2]Setup!$B$19=[2]Setup!$T$19,'[2]Country populations'!K48,'[2]Country populations'!V48)</f>
        <v>0</v>
      </c>
      <c r="L47" s="40">
        <f>IF([2]Setup!$B$19=[2]Setup!$T$19,'[2]Country populations'!L48,'[2]Country populations'!W48)</f>
        <v>0</v>
      </c>
      <c r="M47" s="40" t="str">
        <f t="shared" si="2"/>
        <v>Curacao</v>
      </c>
      <c r="N47" s="40">
        <f>IF([2]Setup!$B$20=[2]Setup!$U$19,'[2]Country populations'!X48,'[2]Country populations'!AI48)</f>
        <v>0</v>
      </c>
      <c r="O47" s="40">
        <f>IF([2]Setup!$B$20=[2]Setup!$U$19,'[2]Country populations'!Y48,'[2]Country populations'!AJ48)</f>
        <v>0</v>
      </c>
      <c r="P47" s="40">
        <f>IF([2]Setup!$B$20=[2]Setup!$U$19,'[2]Country populations'!Z48,'[2]Country populations'!AK48)</f>
        <v>0</v>
      </c>
      <c r="Q47" s="40">
        <f>IF([2]Setup!$B$20=[2]Setup!$U$19,'[2]Country populations'!AA48,'[2]Country populations'!AL48)</f>
        <v>0</v>
      </c>
      <c r="R47" s="40">
        <f>IF([2]Setup!$B$20=[2]Setup!$U$19,'[2]Country populations'!AB48,'[2]Country populations'!AM48)</f>
        <v>0</v>
      </c>
      <c r="S47" s="40">
        <f>IF([2]Setup!$B$20=[2]Setup!$U$19,'[2]Country populations'!AC48,'[2]Country populations'!AN48)</f>
        <v>0</v>
      </c>
      <c r="T47" s="40">
        <f>IF([2]Setup!$B$20=[2]Setup!$U$19,'[2]Country populations'!AD48,'[2]Country populations'!AO48)</f>
        <v>0</v>
      </c>
      <c r="U47" s="40">
        <f>IF([2]Setup!$B$20=[2]Setup!$U$19,'[2]Country populations'!AE48,'[2]Country populations'!AP48)</f>
        <v>0</v>
      </c>
      <c r="V47" s="40">
        <f>IF([2]Setup!$B$20=[2]Setup!$U$19,'[2]Country populations'!AF48,'[2]Country populations'!AQ48)</f>
        <v>0</v>
      </c>
      <c r="W47" s="40">
        <f>IF([2]Setup!$B$20=[2]Setup!$U$19,'[2]Country populations'!AG48,'[2]Country populations'!AR48)</f>
        <v>0</v>
      </c>
      <c r="X47" s="40">
        <f>IF([2]Setup!$B$20=[2]Setup!$U$19,'[2]Country populations'!AH48,'[2]Country populations'!AS48)</f>
        <v>0</v>
      </c>
      <c r="Y47" s="40" t="str">
        <f t="shared" si="3"/>
        <v>Curacao</v>
      </c>
      <c r="Z47" s="40">
        <f>IF([2]Setup!$B$21=[2]Setup!$V$19,'[2]Country populations'!AT48,'[2]Country populations'!BE48)</f>
        <v>0</v>
      </c>
      <c r="AA47" s="40">
        <f>IF([2]Setup!$B$21=[2]Setup!$V$19,'[2]Country populations'!AU48,'[2]Country populations'!BF48)</f>
        <v>0</v>
      </c>
      <c r="AB47" s="40">
        <f>IF([2]Setup!$B$21=[2]Setup!$V$19,'[2]Country populations'!AV48,'[2]Country populations'!BG48)</f>
        <v>0</v>
      </c>
      <c r="AC47" s="40">
        <f>IF([2]Setup!$B$21=[2]Setup!$V$19,'[2]Country populations'!AW48,'[2]Country populations'!BH48)</f>
        <v>0</v>
      </c>
      <c r="AD47" s="40">
        <f>IF([2]Setup!$B$21=[2]Setup!$V$19,'[2]Country populations'!AX48,'[2]Country populations'!BI48)</f>
        <v>0</v>
      </c>
      <c r="AE47" s="40">
        <f>IF([2]Setup!$B$21=[2]Setup!$V$19,'[2]Country populations'!AY48,'[2]Country populations'!BJ48)</f>
        <v>0</v>
      </c>
      <c r="AF47" s="40">
        <f>IF([2]Setup!$B$21=[2]Setup!$V$19,'[2]Country populations'!AZ48,'[2]Country populations'!BK48)</f>
        <v>0</v>
      </c>
      <c r="AG47" s="40">
        <f>IF([2]Setup!$B$21=[2]Setup!$V$19,'[2]Country populations'!BA48,'[2]Country populations'!BL48)</f>
        <v>0</v>
      </c>
      <c r="AH47" s="40">
        <f>IF([2]Setup!$B$21=[2]Setup!$V$19,'[2]Country populations'!BB48,'[2]Country populations'!BM48)</f>
        <v>0</v>
      </c>
      <c r="AI47" s="40">
        <f>IF([2]Setup!$B$21=[2]Setup!$V$19,'[2]Country populations'!BC48,'[2]Country populations'!BN48)</f>
        <v>0</v>
      </c>
      <c r="AJ47" s="40">
        <f>IF([2]Setup!$B$21=[2]Setup!$V$19,'[2]Country populations'!BD48,'[2]Country populations'!BO48)</f>
        <v>0</v>
      </c>
    </row>
    <row r="48" spans="1:36" x14ac:dyDescent="0.25">
      <c r="A48" t="str">
        <f>'[2]Country populations'!A49</f>
        <v>Cyprus</v>
      </c>
      <c r="B48" s="40">
        <f>IF([2]Setup!$B$19=[2]Setup!$T$19,'[2]Country populations'!B49,'[2]Country populations'!M49)</f>
        <v>465</v>
      </c>
      <c r="C48" s="40">
        <f>IF([2]Setup!$B$19=[2]Setup!$T$19,'[2]Country populations'!C49,'[2]Country populations'!N49)</f>
        <v>486</v>
      </c>
      <c r="D48" s="40">
        <f>IF([2]Setup!$B$19=[2]Setup!$T$19,'[2]Country populations'!D49,'[2]Country populations'!O49)</f>
        <v>505</v>
      </c>
      <c r="E48" s="40">
        <f>IF([2]Setup!$B$19=[2]Setup!$T$19,'[2]Country populations'!E49,'[2]Country populations'!P49)</f>
        <v>522</v>
      </c>
      <c r="F48" s="40">
        <f>IF([2]Setup!$B$19=[2]Setup!$T$19,'[2]Country populations'!F49,'[2]Country populations'!Q49)</f>
        <v>537</v>
      </c>
      <c r="G48" s="40">
        <f>IF([2]Setup!$B$19=[2]Setup!$T$19,'[2]Country populations'!G49,'[2]Country populations'!R49)</f>
        <v>551</v>
      </c>
      <c r="H48" s="40">
        <f>IF([2]Setup!$B$19=[2]Setup!$T$19,'[2]Country populations'!H49,'[2]Country populations'!S49)</f>
        <v>562</v>
      </c>
      <c r="I48" s="40">
        <f>IF([2]Setup!$B$19=[2]Setup!$T$19,'[2]Country populations'!I49,'[2]Country populations'!T49)</f>
        <v>571</v>
      </c>
      <c r="J48" s="40">
        <f>IF([2]Setup!$B$19=[2]Setup!$T$19,'[2]Country populations'!J49,'[2]Country populations'!U49)</f>
        <v>580</v>
      </c>
      <c r="K48" s="40">
        <f>IF([2]Setup!$B$19=[2]Setup!$T$19,'[2]Country populations'!K49,'[2]Country populations'!V49)</f>
        <v>587</v>
      </c>
      <c r="L48" s="40">
        <f>IF([2]Setup!$B$19=[2]Setup!$T$19,'[2]Country populations'!L49,'[2]Country populations'!W49)</f>
        <v>593</v>
      </c>
      <c r="M48" s="40" t="str">
        <f t="shared" si="2"/>
        <v>Cyprus</v>
      </c>
      <c r="N48" s="40">
        <f>IF([2]Setup!$B$20=[2]Setup!$U$19,'[2]Country populations'!X49,'[2]Country populations'!AI49)</f>
        <v>10</v>
      </c>
      <c r="O48" s="40">
        <f>IF([2]Setup!$B$20=[2]Setup!$U$19,'[2]Country populations'!Y49,'[2]Country populations'!AJ49)</f>
        <v>11</v>
      </c>
      <c r="P48" s="40">
        <f>IF([2]Setup!$B$20=[2]Setup!$U$19,'[2]Country populations'!Z49,'[2]Country populations'!AK49)</f>
        <v>11</v>
      </c>
      <c r="Q48" s="40">
        <f>IF([2]Setup!$B$20=[2]Setup!$U$19,'[2]Country populations'!AA49,'[2]Country populations'!AL49)</f>
        <v>12</v>
      </c>
      <c r="R48" s="40">
        <f>IF([2]Setup!$B$20=[2]Setup!$U$19,'[2]Country populations'!AB49,'[2]Country populations'!AM49)</f>
        <v>12</v>
      </c>
      <c r="S48" s="40">
        <f>IF([2]Setup!$B$20=[2]Setup!$U$19,'[2]Country populations'!AC49,'[2]Country populations'!AN49)</f>
        <v>13</v>
      </c>
      <c r="T48" s="40">
        <f>IF([2]Setup!$B$20=[2]Setup!$U$19,'[2]Country populations'!AD49,'[2]Country populations'!AO49)</f>
        <v>13</v>
      </c>
      <c r="U48" s="40">
        <f>IF([2]Setup!$B$20=[2]Setup!$U$19,'[2]Country populations'!AE49,'[2]Country populations'!AP49)</f>
        <v>14</v>
      </c>
      <c r="V48" s="40">
        <f>IF([2]Setup!$B$20=[2]Setup!$U$19,'[2]Country populations'!AF49,'[2]Country populations'!AQ49)</f>
        <v>14</v>
      </c>
      <c r="W48" s="40">
        <f>IF([2]Setup!$B$20=[2]Setup!$U$19,'[2]Country populations'!AG49,'[2]Country populations'!AR49)</f>
        <v>15</v>
      </c>
      <c r="X48" s="40">
        <f>IF([2]Setup!$B$20=[2]Setup!$U$19,'[2]Country populations'!AH49,'[2]Country populations'!AS49)</f>
        <v>15</v>
      </c>
      <c r="Y48" s="40" t="str">
        <f t="shared" si="3"/>
        <v>Cyprus</v>
      </c>
      <c r="Z48" s="40">
        <f>IF([2]Setup!$B$21=[2]Setup!$V$19,'[2]Country populations'!AT49,'[2]Country populations'!BE49)</f>
        <v>4</v>
      </c>
      <c r="AA48" s="40">
        <f>IF([2]Setup!$B$21=[2]Setup!$V$19,'[2]Country populations'!AU49,'[2]Country populations'!BF49)</f>
        <v>4</v>
      </c>
      <c r="AB48" s="40">
        <f>IF([2]Setup!$B$21=[2]Setup!$V$19,'[2]Country populations'!AV49,'[2]Country populations'!BG49)</f>
        <v>4</v>
      </c>
      <c r="AC48" s="40">
        <f>IF([2]Setup!$B$21=[2]Setup!$V$19,'[2]Country populations'!AW49,'[2]Country populations'!BH49)</f>
        <v>5</v>
      </c>
      <c r="AD48" s="40">
        <f>IF([2]Setup!$B$21=[2]Setup!$V$19,'[2]Country populations'!AX49,'[2]Country populations'!BI49)</f>
        <v>5</v>
      </c>
      <c r="AE48" s="40">
        <f>IF([2]Setup!$B$21=[2]Setup!$V$19,'[2]Country populations'!AY49,'[2]Country populations'!BJ49)</f>
        <v>5</v>
      </c>
      <c r="AF48" s="40">
        <f>IF([2]Setup!$B$21=[2]Setup!$V$19,'[2]Country populations'!AZ49,'[2]Country populations'!BK49)</f>
        <v>5</v>
      </c>
      <c r="AG48" s="40">
        <f>IF([2]Setup!$B$21=[2]Setup!$V$19,'[2]Country populations'!BA49,'[2]Country populations'!BL49)</f>
        <v>5</v>
      </c>
      <c r="AH48" s="40">
        <f>IF([2]Setup!$B$21=[2]Setup!$V$19,'[2]Country populations'!BB49,'[2]Country populations'!BM49)</f>
        <v>5</v>
      </c>
      <c r="AI48" s="40">
        <f>IF([2]Setup!$B$21=[2]Setup!$V$19,'[2]Country populations'!BC49,'[2]Country populations'!BN49)</f>
        <v>5</v>
      </c>
      <c r="AJ48" s="40">
        <f>IF([2]Setup!$B$21=[2]Setup!$V$19,'[2]Country populations'!BD49,'[2]Country populations'!BO49)</f>
        <v>5</v>
      </c>
    </row>
    <row r="49" spans="1:36" x14ac:dyDescent="0.25">
      <c r="A49" t="str">
        <f>'[2]Country populations'!A50</f>
        <v>Czech Republic</v>
      </c>
      <c r="B49" s="40">
        <f>IF([2]Setup!$B$19=[2]Setup!$T$19,'[2]Country populations'!B50,'[2]Country populations'!M50)</f>
        <v>5798</v>
      </c>
      <c r="C49" s="40">
        <f>IF([2]Setup!$B$19=[2]Setup!$T$19,'[2]Country populations'!C50,'[2]Country populations'!N50)</f>
        <v>6043</v>
      </c>
      <c r="D49" s="40">
        <f>IF([2]Setup!$B$19=[2]Setup!$T$19,'[2]Country populations'!D50,'[2]Country populations'!O50)</f>
        <v>6285</v>
      </c>
      <c r="E49" s="40">
        <f>IF([2]Setup!$B$19=[2]Setup!$T$19,'[2]Country populations'!E50,'[2]Country populations'!P50)</f>
        <v>6524</v>
      </c>
      <c r="F49" s="40">
        <f>IF([2]Setup!$B$19=[2]Setup!$T$19,'[2]Country populations'!F50,'[2]Country populations'!Q50)</f>
        <v>6760</v>
      </c>
      <c r="G49" s="40">
        <f>IF([2]Setup!$B$19=[2]Setup!$T$19,'[2]Country populations'!G50,'[2]Country populations'!R50)</f>
        <v>6993</v>
      </c>
      <c r="H49" s="40">
        <f>IF([2]Setup!$B$19=[2]Setup!$T$19,'[2]Country populations'!H50,'[2]Country populations'!S50)</f>
        <v>7222</v>
      </c>
      <c r="I49" s="40">
        <f>IF([2]Setup!$B$19=[2]Setup!$T$19,'[2]Country populations'!I50,'[2]Country populations'!T50)</f>
        <v>7445</v>
      </c>
      <c r="J49" s="40">
        <f>IF([2]Setup!$B$19=[2]Setup!$T$19,'[2]Country populations'!J50,'[2]Country populations'!U50)</f>
        <v>7663</v>
      </c>
      <c r="K49" s="40">
        <f>IF([2]Setup!$B$19=[2]Setup!$T$19,'[2]Country populations'!K50,'[2]Country populations'!V50)</f>
        <v>7876</v>
      </c>
      <c r="L49" s="40">
        <f>IF([2]Setup!$B$19=[2]Setup!$T$19,'[2]Country populations'!L50,'[2]Country populations'!W50)</f>
        <v>8082</v>
      </c>
      <c r="M49" s="40" t="str">
        <f t="shared" si="2"/>
        <v>Czech Republic</v>
      </c>
      <c r="N49" s="40">
        <f>IF([2]Setup!$B$20=[2]Setup!$U$19,'[2]Country populations'!X50,'[2]Country populations'!AI50)</f>
        <v>9</v>
      </c>
      <c r="O49" s="40">
        <f>IF([2]Setup!$B$20=[2]Setup!$U$19,'[2]Country populations'!Y50,'[2]Country populations'!AJ50)</f>
        <v>9</v>
      </c>
      <c r="P49" s="40">
        <f>IF([2]Setup!$B$20=[2]Setup!$U$19,'[2]Country populations'!Z50,'[2]Country populations'!AK50)</f>
        <v>9</v>
      </c>
      <c r="Q49" s="40">
        <f>IF([2]Setup!$B$20=[2]Setup!$U$19,'[2]Country populations'!AA50,'[2]Country populations'!AL50)</f>
        <v>10</v>
      </c>
      <c r="R49" s="40">
        <f>IF([2]Setup!$B$20=[2]Setup!$U$19,'[2]Country populations'!AB50,'[2]Country populations'!AM50)</f>
        <v>10</v>
      </c>
      <c r="S49" s="40">
        <f>IF([2]Setup!$B$20=[2]Setup!$U$19,'[2]Country populations'!AC50,'[2]Country populations'!AN50)</f>
        <v>11</v>
      </c>
      <c r="T49" s="40">
        <f>IF([2]Setup!$B$20=[2]Setup!$U$19,'[2]Country populations'!AD50,'[2]Country populations'!AO50)</f>
        <v>11</v>
      </c>
      <c r="U49" s="40">
        <f>IF([2]Setup!$B$20=[2]Setup!$U$19,'[2]Country populations'!AE50,'[2]Country populations'!AP50)</f>
        <v>12</v>
      </c>
      <c r="V49" s="40">
        <f>IF([2]Setup!$B$20=[2]Setup!$U$19,'[2]Country populations'!AF50,'[2]Country populations'!AQ50)</f>
        <v>12</v>
      </c>
      <c r="W49" s="40">
        <f>IF([2]Setup!$B$20=[2]Setup!$U$19,'[2]Country populations'!AG50,'[2]Country populations'!AR50)</f>
        <v>12</v>
      </c>
      <c r="X49" s="40">
        <f>IF([2]Setup!$B$20=[2]Setup!$U$19,'[2]Country populations'!AH50,'[2]Country populations'!AS50)</f>
        <v>12</v>
      </c>
      <c r="Y49" s="40" t="str">
        <f t="shared" si="3"/>
        <v>Czech Republic</v>
      </c>
      <c r="Z49" s="40">
        <f>IF([2]Setup!$B$21=[2]Setup!$V$19,'[2]Country populations'!AT50,'[2]Country populations'!BE50)</f>
        <v>18</v>
      </c>
      <c r="AA49" s="40">
        <f>IF([2]Setup!$B$21=[2]Setup!$V$19,'[2]Country populations'!AU50,'[2]Country populations'!BF50)</f>
        <v>19</v>
      </c>
      <c r="AB49" s="40">
        <f>IF([2]Setup!$B$21=[2]Setup!$V$19,'[2]Country populations'!AV50,'[2]Country populations'!BG50)</f>
        <v>19</v>
      </c>
      <c r="AC49" s="40">
        <f>IF([2]Setup!$B$21=[2]Setup!$V$19,'[2]Country populations'!AW50,'[2]Country populations'!BH50)</f>
        <v>20</v>
      </c>
      <c r="AD49" s="40">
        <f>IF([2]Setup!$B$21=[2]Setup!$V$19,'[2]Country populations'!AX50,'[2]Country populations'!BI50)</f>
        <v>20</v>
      </c>
      <c r="AE49" s="40">
        <f>IF([2]Setup!$B$21=[2]Setup!$V$19,'[2]Country populations'!AY50,'[2]Country populations'!BJ50)</f>
        <v>21</v>
      </c>
      <c r="AF49" s="40">
        <f>IF([2]Setup!$B$21=[2]Setup!$V$19,'[2]Country populations'!AZ50,'[2]Country populations'!BK50)</f>
        <v>21</v>
      </c>
      <c r="AG49" s="40">
        <f>IF([2]Setup!$B$21=[2]Setup!$V$19,'[2]Country populations'!BA50,'[2]Country populations'!BL50)</f>
        <v>21</v>
      </c>
      <c r="AH49" s="40">
        <f>IF([2]Setup!$B$21=[2]Setup!$V$19,'[2]Country populations'!BB50,'[2]Country populations'!BM50)</f>
        <v>21</v>
      </c>
      <c r="AI49" s="40">
        <f>IF([2]Setup!$B$21=[2]Setup!$V$19,'[2]Country populations'!BC50,'[2]Country populations'!BN50)</f>
        <v>21</v>
      </c>
      <c r="AJ49" s="40">
        <f>IF([2]Setup!$B$21=[2]Setup!$V$19,'[2]Country populations'!BD50,'[2]Country populations'!BO50)</f>
        <v>21</v>
      </c>
    </row>
    <row r="50" spans="1:36" x14ac:dyDescent="0.25">
      <c r="A50" t="str">
        <f>'[2]Country populations'!A51</f>
        <v>Dem. People's Republic of Korea</v>
      </c>
      <c r="B50" s="40">
        <f>IF([2]Setup!$B$19=[2]Setup!$T$19,'[2]Country populations'!B51,'[2]Country populations'!M51)</f>
        <v>1481</v>
      </c>
      <c r="C50" s="40">
        <f>IF([2]Setup!$B$19=[2]Setup!$T$19,'[2]Country populations'!C51,'[2]Country populations'!N51)</f>
        <v>1493</v>
      </c>
      <c r="D50" s="40">
        <f>IF([2]Setup!$B$19=[2]Setup!$T$19,'[2]Country populations'!D51,'[2]Country populations'!O51)</f>
        <v>1504</v>
      </c>
      <c r="E50" s="40">
        <f>IF([2]Setup!$B$19=[2]Setup!$T$19,'[2]Country populations'!E51,'[2]Country populations'!P51)</f>
        <v>1514</v>
      </c>
      <c r="F50" s="40">
        <f>IF([2]Setup!$B$19=[2]Setup!$T$19,'[2]Country populations'!F51,'[2]Country populations'!Q51)</f>
        <v>1523</v>
      </c>
      <c r="G50" s="40">
        <f>IF([2]Setup!$B$19=[2]Setup!$T$19,'[2]Country populations'!G51,'[2]Country populations'!R51)</f>
        <v>1531</v>
      </c>
      <c r="H50" s="40">
        <f>IF([2]Setup!$B$19=[2]Setup!$T$19,'[2]Country populations'!H51,'[2]Country populations'!S51)</f>
        <v>1536</v>
      </c>
      <c r="I50" s="40">
        <f>IF([2]Setup!$B$19=[2]Setup!$T$19,'[2]Country populations'!I51,'[2]Country populations'!T51)</f>
        <v>1539</v>
      </c>
      <c r="J50" s="40">
        <f>IF([2]Setup!$B$19=[2]Setup!$T$19,'[2]Country populations'!J51,'[2]Country populations'!U51)</f>
        <v>1540</v>
      </c>
      <c r="K50" s="40">
        <f>IF([2]Setup!$B$19=[2]Setup!$T$19,'[2]Country populations'!K51,'[2]Country populations'!V51)</f>
        <v>1541</v>
      </c>
      <c r="L50" s="40">
        <f>IF([2]Setup!$B$19=[2]Setup!$T$19,'[2]Country populations'!L51,'[2]Country populations'!W51)</f>
        <v>1540</v>
      </c>
      <c r="M50" s="40" t="str">
        <f t="shared" si="2"/>
        <v>Dem. People's Republic of Korea</v>
      </c>
      <c r="N50" s="40">
        <f>IF([2]Setup!$B$20=[2]Setup!$U$19,'[2]Country populations'!X51,'[2]Country populations'!AI51)</f>
        <v>54</v>
      </c>
      <c r="O50" s="40">
        <f>IF([2]Setup!$B$20=[2]Setup!$U$19,'[2]Country populations'!Y51,'[2]Country populations'!AJ51)</f>
        <v>54</v>
      </c>
      <c r="P50" s="40">
        <f>IF([2]Setup!$B$20=[2]Setup!$U$19,'[2]Country populations'!Z51,'[2]Country populations'!AK51)</f>
        <v>54</v>
      </c>
      <c r="Q50" s="40">
        <f>IF([2]Setup!$B$20=[2]Setup!$U$19,'[2]Country populations'!AA51,'[2]Country populations'!AL51)</f>
        <v>55</v>
      </c>
      <c r="R50" s="40">
        <f>IF([2]Setup!$B$20=[2]Setup!$U$19,'[2]Country populations'!AB51,'[2]Country populations'!AM51)</f>
        <v>55</v>
      </c>
      <c r="S50" s="40">
        <f>IF([2]Setup!$B$20=[2]Setup!$U$19,'[2]Country populations'!AC51,'[2]Country populations'!AN51)</f>
        <v>55</v>
      </c>
      <c r="T50" s="40">
        <f>IF([2]Setup!$B$20=[2]Setup!$U$19,'[2]Country populations'!AD51,'[2]Country populations'!AO51)</f>
        <v>56</v>
      </c>
      <c r="U50" s="40">
        <f>IF([2]Setup!$B$20=[2]Setup!$U$19,'[2]Country populations'!AE51,'[2]Country populations'!AP51)</f>
        <v>56</v>
      </c>
      <c r="V50" s="40">
        <f>IF([2]Setup!$B$20=[2]Setup!$U$19,'[2]Country populations'!AF51,'[2]Country populations'!AQ51)</f>
        <v>56</v>
      </c>
      <c r="W50" s="40">
        <f>IF([2]Setup!$B$20=[2]Setup!$U$19,'[2]Country populations'!AG51,'[2]Country populations'!AR51)</f>
        <v>57</v>
      </c>
      <c r="X50" s="40">
        <f>IF([2]Setup!$B$20=[2]Setup!$U$19,'[2]Country populations'!AH51,'[2]Country populations'!AS51)</f>
        <v>57</v>
      </c>
      <c r="Y50" s="40" t="str">
        <f t="shared" si="3"/>
        <v>Dem. People's Republic of Korea</v>
      </c>
      <c r="Z50" s="40">
        <f>IF([2]Setup!$B$21=[2]Setup!$V$19,'[2]Country populations'!AT51,'[2]Country populations'!BE51)</f>
        <v>18</v>
      </c>
      <c r="AA50" s="40">
        <f>IF([2]Setup!$B$21=[2]Setup!$V$19,'[2]Country populations'!AU51,'[2]Country populations'!BF51)</f>
        <v>18</v>
      </c>
      <c r="AB50" s="40">
        <f>IF([2]Setup!$B$21=[2]Setup!$V$19,'[2]Country populations'!AV51,'[2]Country populations'!BG51)</f>
        <v>18</v>
      </c>
      <c r="AC50" s="40">
        <f>IF([2]Setup!$B$21=[2]Setup!$V$19,'[2]Country populations'!AW51,'[2]Country populations'!BH51)</f>
        <v>18</v>
      </c>
      <c r="AD50" s="40">
        <f>IF([2]Setup!$B$21=[2]Setup!$V$19,'[2]Country populations'!AX51,'[2]Country populations'!BI51)</f>
        <v>18</v>
      </c>
      <c r="AE50" s="40">
        <f>IF([2]Setup!$B$21=[2]Setup!$V$19,'[2]Country populations'!AY51,'[2]Country populations'!BJ51)</f>
        <v>18</v>
      </c>
      <c r="AF50" s="40">
        <f>IF([2]Setup!$B$21=[2]Setup!$V$19,'[2]Country populations'!AZ51,'[2]Country populations'!BK51)</f>
        <v>18</v>
      </c>
      <c r="AG50" s="40">
        <f>IF([2]Setup!$B$21=[2]Setup!$V$19,'[2]Country populations'!BA51,'[2]Country populations'!BL51)</f>
        <v>18</v>
      </c>
      <c r="AH50" s="40">
        <f>IF([2]Setup!$B$21=[2]Setup!$V$19,'[2]Country populations'!BB51,'[2]Country populations'!BM51)</f>
        <v>18</v>
      </c>
      <c r="AI50" s="40">
        <f>IF([2]Setup!$B$21=[2]Setup!$V$19,'[2]Country populations'!BC51,'[2]Country populations'!BN51)</f>
        <v>18</v>
      </c>
      <c r="AJ50" s="40">
        <f>IF([2]Setup!$B$21=[2]Setup!$V$19,'[2]Country populations'!BD51,'[2]Country populations'!BO51)</f>
        <v>18</v>
      </c>
    </row>
    <row r="51" spans="1:36" x14ac:dyDescent="0.25">
      <c r="A51" t="str">
        <f>'[2]Country populations'!A52</f>
        <v>Democratic Republic of the Congo</v>
      </c>
      <c r="B51" s="40">
        <f>IF([2]Setup!$B$19=[2]Setup!$T$19,'[2]Country populations'!B52,'[2]Country populations'!M52)</f>
        <v>394378</v>
      </c>
      <c r="C51" s="40">
        <f>IF([2]Setup!$B$19=[2]Setup!$T$19,'[2]Country populations'!C52,'[2]Country populations'!N52)</f>
        <v>392797</v>
      </c>
      <c r="D51" s="40">
        <f>IF([2]Setup!$B$19=[2]Setup!$T$19,'[2]Country populations'!D52,'[2]Country populations'!O52)</f>
        <v>391635</v>
      </c>
      <c r="E51" s="40">
        <f>IF([2]Setup!$B$19=[2]Setup!$T$19,'[2]Country populations'!E52,'[2]Country populations'!P52)</f>
        <v>391753</v>
      </c>
      <c r="F51" s="40">
        <f>IF([2]Setup!$B$19=[2]Setup!$T$19,'[2]Country populations'!F52,'[2]Country populations'!Q52)</f>
        <v>393122</v>
      </c>
      <c r="G51" s="40">
        <f>IF([2]Setup!$B$19=[2]Setup!$T$19,'[2]Country populations'!G52,'[2]Country populations'!R52)</f>
        <v>395643</v>
      </c>
      <c r="H51" s="40">
        <f>IF([2]Setup!$B$19=[2]Setup!$T$19,'[2]Country populations'!H52,'[2]Country populations'!S52)</f>
        <v>398877</v>
      </c>
      <c r="I51" s="40">
        <f>IF([2]Setup!$B$19=[2]Setup!$T$19,'[2]Country populations'!I52,'[2]Country populations'!T52)</f>
        <v>401809</v>
      </c>
      <c r="J51" s="40">
        <f>IF([2]Setup!$B$19=[2]Setup!$T$19,'[2]Country populations'!J52,'[2]Country populations'!U52)</f>
        <v>404498</v>
      </c>
      <c r="K51" s="40">
        <f>IF([2]Setup!$B$19=[2]Setup!$T$19,'[2]Country populations'!K52,'[2]Country populations'!V52)</f>
        <v>406779</v>
      </c>
      <c r="L51" s="40">
        <f>IF([2]Setup!$B$19=[2]Setup!$T$19,'[2]Country populations'!L52,'[2]Country populations'!W52)</f>
        <v>408825</v>
      </c>
      <c r="M51" s="40" t="str">
        <f t="shared" si="2"/>
        <v>Democratic Republic of the Congo</v>
      </c>
      <c r="N51" s="40">
        <f>IF([2]Setup!$B$20=[2]Setup!$U$19,'[2]Country populations'!X52,'[2]Country populations'!AI52)</f>
        <v>65688</v>
      </c>
      <c r="O51" s="40">
        <f>IF([2]Setup!$B$20=[2]Setup!$U$19,'[2]Country populations'!Y52,'[2]Country populations'!AJ52)</f>
        <v>66899</v>
      </c>
      <c r="P51" s="40">
        <f>IF([2]Setup!$B$20=[2]Setup!$U$19,'[2]Country populations'!Z52,'[2]Country populations'!AK52)</f>
        <v>66122</v>
      </c>
      <c r="Q51" s="40">
        <f>IF([2]Setup!$B$20=[2]Setup!$U$19,'[2]Country populations'!AA52,'[2]Country populations'!AL52)</f>
        <v>64704</v>
      </c>
      <c r="R51" s="40">
        <f>IF([2]Setup!$B$20=[2]Setup!$U$19,'[2]Country populations'!AB52,'[2]Country populations'!AM52)</f>
        <v>62834</v>
      </c>
      <c r="S51" s="40">
        <f>IF([2]Setup!$B$20=[2]Setup!$U$19,'[2]Country populations'!AC52,'[2]Country populations'!AN52)</f>
        <v>60750</v>
      </c>
      <c r="T51" s="40">
        <f>IF([2]Setup!$B$20=[2]Setup!$U$19,'[2]Country populations'!AD52,'[2]Country populations'!AO52)</f>
        <v>58798</v>
      </c>
      <c r="U51" s="40">
        <f>IF([2]Setup!$B$20=[2]Setup!$U$19,'[2]Country populations'!AE52,'[2]Country populations'!AP52)</f>
        <v>56787</v>
      </c>
      <c r="V51" s="40">
        <f>IF([2]Setup!$B$20=[2]Setup!$U$19,'[2]Country populations'!AF52,'[2]Country populations'!AQ52)</f>
        <v>54705</v>
      </c>
      <c r="W51" s="40">
        <f>IF([2]Setup!$B$20=[2]Setup!$U$19,'[2]Country populations'!AG52,'[2]Country populations'!AR52)</f>
        <v>52759</v>
      </c>
      <c r="X51" s="40">
        <f>IF([2]Setup!$B$20=[2]Setup!$U$19,'[2]Country populations'!AH52,'[2]Country populations'!AS52)</f>
        <v>50786</v>
      </c>
      <c r="Y51" s="40" t="str">
        <f t="shared" si="3"/>
        <v>Democratic Republic of the Congo</v>
      </c>
      <c r="Z51" s="40">
        <f>IF([2]Setup!$B$21=[2]Setup!$V$19,'[2]Country populations'!AT52,'[2]Country populations'!BE52)</f>
        <v>27307</v>
      </c>
      <c r="AA51" s="40">
        <f>IF([2]Setup!$B$21=[2]Setup!$V$19,'[2]Country populations'!AU52,'[2]Country populations'!BF52)</f>
        <v>26426</v>
      </c>
      <c r="AB51" s="40">
        <f>IF([2]Setup!$B$21=[2]Setup!$V$19,'[2]Country populations'!AV52,'[2]Country populations'!BG52)</f>
        <v>25740</v>
      </c>
      <c r="AC51" s="40">
        <f>IF([2]Setup!$B$21=[2]Setup!$V$19,'[2]Country populations'!AW52,'[2]Country populations'!BH52)</f>
        <v>25079</v>
      </c>
      <c r="AD51" s="40">
        <f>IF([2]Setup!$B$21=[2]Setup!$V$19,'[2]Country populations'!AX52,'[2]Country populations'!BI52)</f>
        <v>24471</v>
      </c>
      <c r="AE51" s="40">
        <f>IF([2]Setup!$B$21=[2]Setup!$V$19,'[2]Country populations'!AY52,'[2]Country populations'!BJ52)</f>
        <v>23916</v>
      </c>
      <c r="AF51" s="40">
        <f>IF([2]Setup!$B$21=[2]Setup!$V$19,'[2]Country populations'!AZ52,'[2]Country populations'!BK52)</f>
        <v>23215</v>
      </c>
      <c r="AG51" s="40">
        <f>IF([2]Setup!$B$21=[2]Setup!$V$19,'[2]Country populations'!BA52,'[2]Country populations'!BL52)</f>
        <v>22342</v>
      </c>
      <c r="AH51" s="40">
        <f>IF([2]Setup!$B$21=[2]Setup!$V$19,'[2]Country populations'!BB52,'[2]Country populations'!BM52)</f>
        <v>21462</v>
      </c>
      <c r="AI51" s="40">
        <f>IF([2]Setup!$B$21=[2]Setup!$V$19,'[2]Country populations'!BC52,'[2]Country populations'!BN52)</f>
        <v>20584</v>
      </c>
      <c r="AJ51" s="40">
        <f>IF([2]Setup!$B$21=[2]Setup!$V$19,'[2]Country populations'!BD52,'[2]Country populations'!BO52)</f>
        <v>19726</v>
      </c>
    </row>
    <row r="52" spans="1:36" x14ac:dyDescent="0.25">
      <c r="A52" t="str">
        <f>'[2]Country populations'!A53</f>
        <v>Denmark</v>
      </c>
      <c r="B52" s="40">
        <f>IF([2]Setup!$B$19=[2]Setup!$T$19,'[2]Country populations'!B53,'[2]Country populations'!M53)</f>
        <v>5815</v>
      </c>
      <c r="C52" s="40">
        <f>IF([2]Setup!$B$19=[2]Setup!$T$19,'[2]Country populations'!C53,'[2]Country populations'!N53)</f>
        <v>6020</v>
      </c>
      <c r="D52" s="40">
        <f>IF([2]Setup!$B$19=[2]Setup!$T$19,'[2]Country populations'!D53,'[2]Country populations'!O53)</f>
        <v>6222</v>
      </c>
      <c r="E52" s="40">
        <f>IF([2]Setup!$B$19=[2]Setup!$T$19,'[2]Country populations'!E53,'[2]Country populations'!P53)</f>
        <v>6420</v>
      </c>
      <c r="F52" s="40">
        <f>IF([2]Setup!$B$19=[2]Setup!$T$19,'[2]Country populations'!F53,'[2]Country populations'!Q53)</f>
        <v>6615</v>
      </c>
      <c r="G52" s="40">
        <f>IF([2]Setup!$B$19=[2]Setup!$T$19,'[2]Country populations'!G53,'[2]Country populations'!R53)</f>
        <v>6805</v>
      </c>
      <c r="H52" s="40">
        <f>IF([2]Setup!$B$19=[2]Setup!$T$19,'[2]Country populations'!H53,'[2]Country populations'!S53)</f>
        <v>6992</v>
      </c>
      <c r="I52" s="40">
        <f>IF([2]Setup!$B$19=[2]Setup!$T$19,'[2]Country populations'!I53,'[2]Country populations'!T53)</f>
        <v>7175</v>
      </c>
      <c r="J52" s="40">
        <f>IF([2]Setup!$B$19=[2]Setup!$T$19,'[2]Country populations'!J53,'[2]Country populations'!U53)</f>
        <v>7354</v>
      </c>
      <c r="K52" s="40">
        <f>IF([2]Setup!$B$19=[2]Setup!$T$19,'[2]Country populations'!K53,'[2]Country populations'!V53)</f>
        <v>7528</v>
      </c>
      <c r="L52" s="40">
        <f>IF([2]Setup!$B$19=[2]Setup!$T$19,'[2]Country populations'!L53,'[2]Country populations'!W53)</f>
        <v>7699</v>
      </c>
      <c r="M52" s="40" t="str">
        <f t="shared" si="2"/>
        <v>Denmark</v>
      </c>
      <c r="N52" s="40">
        <f>IF([2]Setup!$B$20=[2]Setup!$U$19,'[2]Country populations'!X53,'[2]Country populations'!AI53)</f>
        <v>18</v>
      </c>
      <c r="O52" s="40">
        <f>IF([2]Setup!$B$20=[2]Setup!$U$19,'[2]Country populations'!Y53,'[2]Country populations'!AJ53)</f>
        <v>21</v>
      </c>
      <c r="P52" s="40">
        <f>IF([2]Setup!$B$20=[2]Setup!$U$19,'[2]Country populations'!Z53,'[2]Country populations'!AK53)</f>
        <v>24</v>
      </c>
      <c r="Q52" s="40">
        <f>IF([2]Setup!$B$20=[2]Setup!$U$19,'[2]Country populations'!AA53,'[2]Country populations'!AL53)</f>
        <v>27</v>
      </c>
      <c r="R52" s="40">
        <f>IF([2]Setup!$B$20=[2]Setup!$U$19,'[2]Country populations'!AB53,'[2]Country populations'!AM53)</f>
        <v>30</v>
      </c>
      <c r="S52" s="40">
        <f>IF([2]Setup!$B$20=[2]Setup!$U$19,'[2]Country populations'!AC53,'[2]Country populations'!AN53)</f>
        <v>33</v>
      </c>
      <c r="T52" s="40">
        <f>IF([2]Setup!$B$20=[2]Setup!$U$19,'[2]Country populations'!AD53,'[2]Country populations'!AO53)</f>
        <v>36</v>
      </c>
      <c r="U52" s="40">
        <f>IF([2]Setup!$B$20=[2]Setup!$U$19,'[2]Country populations'!AE53,'[2]Country populations'!AP53)</f>
        <v>39</v>
      </c>
      <c r="V52" s="40">
        <f>IF([2]Setup!$B$20=[2]Setup!$U$19,'[2]Country populations'!AF53,'[2]Country populations'!AQ53)</f>
        <v>43</v>
      </c>
      <c r="W52" s="40">
        <f>IF([2]Setup!$B$20=[2]Setup!$U$19,'[2]Country populations'!AG53,'[2]Country populations'!AR53)</f>
        <v>48</v>
      </c>
      <c r="X52" s="40">
        <f>IF([2]Setup!$B$20=[2]Setup!$U$19,'[2]Country populations'!AH53,'[2]Country populations'!AS53)</f>
        <v>52</v>
      </c>
      <c r="Y52" s="40" t="str">
        <f t="shared" si="3"/>
        <v>Denmark</v>
      </c>
      <c r="Z52" s="40">
        <f>IF([2]Setup!$B$21=[2]Setup!$V$19,'[2]Country populations'!AT53,'[2]Country populations'!BE53)</f>
        <v>42</v>
      </c>
      <c r="AA52" s="40">
        <f>IF([2]Setup!$B$21=[2]Setup!$V$19,'[2]Country populations'!AU53,'[2]Country populations'!BF53)</f>
        <v>42</v>
      </c>
      <c r="AB52" s="40">
        <f>IF([2]Setup!$B$21=[2]Setup!$V$19,'[2]Country populations'!AV53,'[2]Country populations'!BG53)</f>
        <v>43</v>
      </c>
      <c r="AC52" s="40">
        <f>IF([2]Setup!$B$21=[2]Setup!$V$19,'[2]Country populations'!AW53,'[2]Country populations'!BH53)</f>
        <v>43</v>
      </c>
      <c r="AD52" s="40">
        <f>IF([2]Setup!$B$21=[2]Setup!$V$19,'[2]Country populations'!AX53,'[2]Country populations'!BI53)</f>
        <v>44</v>
      </c>
      <c r="AE52" s="40">
        <f>IF([2]Setup!$B$21=[2]Setup!$V$19,'[2]Country populations'!AY53,'[2]Country populations'!BJ53)</f>
        <v>44</v>
      </c>
      <c r="AF52" s="40">
        <f>IF([2]Setup!$B$21=[2]Setup!$V$19,'[2]Country populations'!AZ53,'[2]Country populations'!BK53)</f>
        <v>45</v>
      </c>
      <c r="AG52" s="40">
        <f>IF([2]Setup!$B$21=[2]Setup!$V$19,'[2]Country populations'!BA53,'[2]Country populations'!BL53)</f>
        <v>46</v>
      </c>
      <c r="AH52" s="40">
        <f>IF([2]Setup!$B$21=[2]Setup!$V$19,'[2]Country populations'!BB53,'[2]Country populations'!BM53)</f>
        <v>46</v>
      </c>
      <c r="AI52" s="40">
        <f>IF([2]Setup!$B$21=[2]Setup!$V$19,'[2]Country populations'!BC53,'[2]Country populations'!BN53)</f>
        <v>47</v>
      </c>
      <c r="AJ52" s="40">
        <f>IF([2]Setup!$B$21=[2]Setup!$V$19,'[2]Country populations'!BD53,'[2]Country populations'!BO53)</f>
        <v>47</v>
      </c>
    </row>
    <row r="53" spans="1:36" x14ac:dyDescent="0.25">
      <c r="A53" t="str">
        <f>'[2]Country populations'!A54</f>
        <v>Djibouti</v>
      </c>
      <c r="B53" s="40">
        <f>IF([2]Setup!$B$19=[2]Setup!$T$19,'[2]Country populations'!B54,'[2]Country populations'!M54)</f>
        <v>5612</v>
      </c>
      <c r="C53" s="40">
        <f>IF([2]Setup!$B$19=[2]Setup!$T$19,'[2]Country populations'!C54,'[2]Country populations'!N54)</f>
        <v>5166</v>
      </c>
      <c r="D53" s="40">
        <f>IF([2]Setup!$B$19=[2]Setup!$T$19,'[2]Country populations'!D54,'[2]Country populations'!O54)</f>
        <v>4780</v>
      </c>
      <c r="E53" s="40">
        <f>IF([2]Setup!$B$19=[2]Setup!$T$19,'[2]Country populations'!E54,'[2]Country populations'!P54)</f>
        <v>4449</v>
      </c>
      <c r="F53" s="40">
        <f>IF([2]Setup!$B$19=[2]Setup!$T$19,'[2]Country populations'!F54,'[2]Country populations'!Q54)</f>
        <v>4167</v>
      </c>
      <c r="G53" s="40">
        <f>IF([2]Setup!$B$19=[2]Setup!$T$19,'[2]Country populations'!G54,'[2]Country populations'!R54)</f>
        <v>3930</v>
      </c>
      <c r="H53" s="40">
        <f>IF([2]Setup!$B$19=[2]Setup!$T$19,'[2]Country populations'!H54,'[2]Country populations'!S54)</f>
        <v>3714</v>
      </c>
      <c r="I53" s="40">
        <f>IF([2]Setup!$B$19=[2]Setup!$T$19,'[2]Country populations'!I54,'[2]Country populations'!T54)</f>
        <v>3511</v>
      </c>
      <c r="J53" s="40">
        <f>IF([2]Setup!$B$19=[2]Setup!$T$19,'[2]Country populations'!J54,'[2]Country populations'!U54)</f>
        <v>3322</v>
      </c>
      <c r="K53" s="40">
        <f>IF([2]Setup!$B$19=[2]Setup!$T$19,'[2]Country populations'!K54,'[2]Country populations'!V54)</f>
        <v>3149</v>
      </c>
      <c r="L53" s="40">
        <f>IF([2]Setup!$B$19=[2]Setup!$T$19,'[2]Country populations'!L54,'[2]Country populations'!W54)</f>
        <v>2988</v>
      </c>
      <c r="M53" s="40" t="str">
        <f t="shared" si="2"/>
        <v>Djibouti</v>
      </c>
      <c r="N53" s="40">
        <f>IF([2]Setup!$B$20=[2]Setup!$U$19,'[2]Country populations'!X54,'[2]Country populations'!AI54)</f>
        <v>1090</v>
      </c>
      <c r="O53" s="40">
        <f>IF([2]Setup!$B$20=[2]Setup!$U$19,'[2]Country populations'!Y54,'[2]Country populations'!AJ54)</f>
        <v>983</v>
      </c>
      <c r="P53" s="40">
        <f>IF([2]Setup!$B$20=[2]Setup!$U$19,'[2]Country populations'!Z54,'[2]Country populations'!AK54)</f>
        <v>869</v>
      </c>
      <c r="Q53" s="40">
        <f>IF([2]Setup!$B$20=[2]Setup!$U$19,'[2]Country populations'!AA54,'[2]Country populations'!AL54)</f>
        <v>755</v>
      </c>
      <c r="R53" s="40">
        <f>IF([2]Setup!$B$20=[2]Setup!$U$19,'[2]Country populations'!AB54,'[2]Country populations'!AM54)</f>
        <v>649</v>
      </c>
      <c r="S53" s="40">
        <f>IF([2]Setup!$B$20=[2]Setup!$U$19,'[2]Country populations'!AC54,'[2]Country populations'!AN54)</f>
        <v>550</v>
      </c>
      <c r="T53" s="40">
        <f>IF([2]Setup!$B$20=[2]Setup!$U$19,'[2]Country populations'!AD54,'[2]Country populations'!AO54)</f>
        <v>458</v>
      </c>
      <c r="U53" s="40">
        <f>IF([2]Setup!$B$20=[2]Setup!$U$19,'[2]Country populations'!AE54,'[2]Country populations'!AP54)</f>
        <v>375</v>
      </c>
      <c r="V53" s="40">
        <f>IF([2]Setup!$B$20=[2]Setup!$U$19,'[2]Country populations'!AF54,'[2]Country populations'!AQ54)</f>
        <v>300</v>
      </c>
      <c r="W53" s="40">
        <f>IF([2]Setup!$B$20=[2]Setup!$U$19,'[2]Country populations'!AG54,'[2]Country populations'!AR54)</f>
        <v>234</v>
      </c>
      <c r="X53" s="40">
        <f>IF([2]Setup!$B$20=[2]Setup!$U$19,'[2]Country populations'!AH54,'[2]Country populations'!AS54)</f>
        <v>178</v>
      </c>
      <c r="Y53" s="40" t="str">
        <f t="shared" si="3"/>
        <v>Djibouti</v>
      </c>
      <c r="Z53" s="40">
        <f>IF([2]Setup!$B$21=[2]Setup!$V$19,'[2]Country populations'!AT54,'[2]Country populations'!BE54)</f>
        <v>197</v>
      </c>
      <c r="AA53" s="40">
        <f>IF([2]Setup!$B$21=[2]Setup!$V$19,'[2]Country populations'!AU54,'[2]Country populations'!BF54)</f>
        <v>164</v>
      </c>
      <c r="AB53" s="40">
        <f>IF([2]Setup!$B$21=[2]Setup!$V$19,'[2]Country populations'!AV54,'[2]Country populations'!BG54)</f>
        <v>137</v>
      </c>
      <c r="AC53" s="40">
        <f>IF([2]Setup!$B$21=[2]Setup!$V$19,'[2]Country populations'!AW54,'[2]Country populations'!BH54)</f>
        <v>114</v>
      </c>
      <c r="AD53" s="40">
        <f>IF([2]Setup!$B$21=[2]Setup!$V$19,'[2]Country populations'!AX54,'[2]Country populations'!BI54)</f>
        <v>97</v>
      </c>
      <c r="AE53" s="40">
        <f>IF([2]Setup!$B$21=[2]Setup!$V$19,'[2]Country populations'!AY54,'[2]Country populations'!BJ54)</f>
        <v>82</v>
      </c>
      <c r="AF53" s="40">
        <f>IF([2]Setup!$B$21=[2]Setup!$V$19,'[2]Country populations'!AZ54,'[2]Country populations'!BK54)</f>
        <v>71</v>
      </c>
      <c r="AG53" s="40">
        <f>IF([2]Setup!$B$21=[2]Setup!$V$19,'[2]Country populations'!BA54,'[2]Country populations'!BL54)</f>
        <v>62</v>
      </c>
      <c r="AH53" s="40">
        <f>IF([2]Setup!$B$21=[2]Setup!$V$19,'[2]Country populations'!BB54,'[2]Country populations'!BM54)</f>
        <v>56</v>
      </c>
      <c r="AI53" s="40">
        <f>IF([2]Setup!$B$21=[2]Setup!$V$19,'[2]Country populations'!BC54,'[2]Country populations'!BN54)</f>
        <v>50</v>
      </c>
      <c r="AJ53" s="40">
        <f>IF([2]Setup!$B$21=[2]Setup!$V$19,'[2]Country populations'!BD54,'[2]Country populations'!BO54)</f>
        <v>46</v>
      </c>
    </row>
    <row r="54" spans="1:36" x14ac:dyDescent="0.25">
      <c r="A54" t="str">
        <f>'[2]Country populations'!A55</f>
        <v>Dominica</v>
      </c>
      <c r="B54" s="40">
        <f>IF([2]Setup!$B$19=[2]Setup!$T$19,'[2]Country populations'!B55,'[2]Country populations'!M55)</f>
        <v>0</v>
      </c>
      <c r="C54" s="40">
        <f>IF([2]Setup!$B$19=[2]Setup!$T$19,'[2]Country populations'!C55,'[2]Country populations'!N55)</f>
        <v>0</v>
      </c>
      <c r="D54" s="40">
        <f>IF([2]Setup!$B$19=[2]Setup!$T$19,'[2]Country populations'!D55,'[2]Country populations'!O55)</f>
        <v>0</v>
      </c>
      <c r="E54" s="40">
        <f>IF([2]Setup!$B$19=[2]Setup!$T$19,'[2]Country populations'!E55,'[2]Country populations'!P55)</f>
        <v>0</v>
      </c>
      <c r="F54" s="40">
        <f>IF([2]Setup!$B$19=[2]Setup!$T$19,'[2]Country populations'!F55,'[2]Country populations'!Q55)</f>
        <v>0</v>
      </c>
      <c r="G54" s="40">
        <f>IF([2]Setup!$B$19=[2]Setup!$T$19,'[2]Country populations'!G55,'[2]Country populations'!R55)</f>
        <v>0</v>
      </c>
      <c r="H54" s="40">
        <f>IF([2]Setup!$B$19=[2]Setup!$T$19,'[2]Country populations'!H55,'[2]Country populations'!S55)</f>
        <v>0</v>
      </c>
      <c r="I54" s="40">
        <f>IF([2]Setup!$B$19=[2]Setup!$T$19,'[2]Country populations'!I55,'[2]Country populations'!T55)</f>
        <v>0</v>
      </c>
      <c r="J54" s="40">
        <f>IF([2]Setup!$B$19=[2]Setup!$T$19,'[2]Country populations'!J55,'[2]Country populations'!U55)</f>
        <v>0</v>
      </c>
      <c r="K54" s="40">
        <f>IF([2]Setup!$B$19=[2]Setup!$T$19,'[2]Country populations'!K55,'[2]Country populations'!V55)</f>
        <v>0</v>
      </c>
      <c r="L54" s="40">
        <f>IF([2]Setup!$B$19=[2]Setup!$T$19,'[2]Country populations'!L55,'[2]Country populations'!W55)</f>
        <v>0</v>
      </c>
      <c r="M54" s="40" t="str">
        <f t="shared" si="2"/>
        <v>Dominica</v>
      </c>
      <c r="N54" s="40">
        <f>IF([2]Setup!$B$20=[2]Setup!$U$19,'[2]Country populations'!X55,'[2]Country populations'!AI55)</f>
        <v>0</v>
      </c>
      <c r="O54" s="40">
        <f>IF([2]Setup!$B$20=[2]Setup!$U$19,'[2]Country populations'!Y55,'[2]Country populations'!AJ55)</f>
        <v>0</v>
      </c>
      <c r="P54" s="40">
        <f>IF([2]Setup!$B$20=[2]Setup!$U$19,'[2]Country populations'!Z55,'[2]Country populations'!AK55)</f>
        <v>0</v>
      </c>
      <c r="Q54" s="40">
        <f>IF([2]Setup!$B$20=[2]Setup!$U$19,'[2]Country populations'!AA55,'[2]Country populations'!AL55)</f>
        <v>0</v>
      </c>
      <c r="R54" s="40">
        <f>IF([2]Setup!$B$20=[2]Setup!$U$19,'[2]Country populations'!AB55,'[2]Country populations'!AM55)</f>
        <v>0</v>
      </c>
      <c r="S54" s="40">
        <f>IF([2]Setup!$B$20=[2]Setup!$U$19,'[2]Country populations'!AC55,'[2]Country populations'!AN55)</f>
        <v>0</v>
      </c>
      <c r="T54" s="40">
        <f>IF([2]Setup!$B$20=[2]Setup!$U$19,'[2]Country populations'!AD55,'[2]Country populations'!AO55)</f>
        <v>0</v>
      </c>
      <c r="U54" s="40">
        <f>IF([2]Setup!$B$20=[2]Setup!$U$19,'[2]Country populations'!AE55,'[2]Country populations'!AP55)</f>
        <v>0</v>
      </c>
      <c r="V54" s="40">
        <f>IF([2]Setup!$B$20=[2]Setup!$U$19,'[2]Country populations'!AF55,'[2]Country populations'!AQ55)</f>
        <v>0</v>
      </c>
      <c r="W54" s="40">
        <f>IF([2]Setup!$B$20=[2]Setup!$U$19,'[2]Country populations'!AG55,'[2]Country populations'!AR55)</f>
        <v>0</v>
      </c>
      <c r="X54" s="40">
        <f>IF([2]Setup!$B$20=[2]Setup!$U$19,'[2]Country populations'!AH55,'[2]Country populations'!AS55)</f>
        <v>0</v>
      </c>
      <c r="Y54" s="40" t="str">
        <f t="shared" si="3"/>
        <v>Dominica</v>
      </c>
      <c r="Z54" s="40">
        <f>IF([2]Setup!$B$21=[2]Setup!$V$19,'[2]Country populations'!AT55,'[2]Country populations'!BE55)</f>
        <v>0</v>
      </c>
      <c r="AA54" s="40">
        <f>IF([2]Setup!$B$21=[2]Setup!$V$19,'[2]Country populations'!AU55,'[2]Country populations'!BF55)</f>
        <v>0</v>
      </c>
      <c r="AB54" s="40">
        <f>IF([2]Setup!$B$21=[2]Setup!$V$19,'[2]Country populations'!AV55,'[2]Country populations'!BG55)</f>
        <v>0</v>
      </c>
      <c r="AC54" s="40">
        <f>IF([2]Setup!$B$21=[2]Setup!$V$19,'[2]Country populations'!AW55,'[2]Country populations'!BH55)</f>
        <v>0</v>
      </c>
      <c r="AD54" s="40">
        <f>IF([2]Setup!$B$21=[2]Setup!$V$19,'[2]Country populations'!AX55,'[2]Country populations'!BI55)</f>
        <v>0</v>
      </c>
      <c r="AE54" s="40">
        <f>IF([2]Setup!$B$21=[2]Setup!$V$19,'[2]Country populations'!AY55,'[2]Country populations'!BJ55)</f>
        <v>0</v>
      </c>
      <c r="AF54" s="40">
        <f>IF([2]Setup!$B$21=[2]Setup!$V$19,'[2]Country populations'!AZ55,'[2]Country populations'!BK55)</f>
        <v>0</v>
      </c>
      <c r="AG54" s="40">
        <f>IF([2]Setup!$B$21=[2]Setup!$V$19,'[2]Country populations'!BA55,'[2]Country populations'!BL55)</f>
        <v>0</v>
      </c>
      <c r="AH54" s="40">
        <f>IF([2]Setup!$B$21=[2]Setup!$V$19,'[2]Country populations'!BB55,'[2]Country populations'!BM55)</f>
        <v>0</v>
      </c>
      <c r="AI54" s="40">
        <f>IF([2]Setup!$B$21=[2]Setup!$V$19,'[2]Country populations'!BC55,'[2]Country populations'!BN55)</f>
        <v>0</v>
      </c>
      <c r="AJ54" s="40">
        <f>IF([2]Setup!$B$21=[2]Setup!$V$19,'[2]Country populations'!BD55,'[2]Country populations'!BO55)</f>
        <v>0</v>
      </c>
    </row>
    <row r="55" spans="1:36" x14ac:dyDescent="0.25">
      <c r="A55" t="str">
        <f>'[2]Country populations'!A56</f>
        <v>Dominican Republic</v>
      </c>
      <c r="B55" s="40">
        <f>IF([2]Setup!$B$19=[2]Setup!$T$19,'[2]Country populations'!B56,'[2]Country populations'!M56)</f>
        <v>44947</v>
      </c>
      <c r="C55" s="40">
        <f>IF([2]Setup!$B$19=[2]Setup!$T$19,'[2]Country populations'!C56,'[2]Country populations'!N56)</f>
        <v>44181</v>
      </c>
      <c r="D55" s="40">
        <f>IF([2]Setup!$B$19=[2]Setup!$T$19,'[2]Country populations'!D56,'[2]Country populations'!O56)</f>
        <v>43592</v>
      </c>
      <c r="E55" s="40">
        <f>IF([2]Setup!$B$19=[2]Setup!$T$19,'[2]Country populations'!E56,'[2]Country populations'!P56)</f>
        <v>43180</v>
      </c>
      <c r="F55" s="40">
        <f>IF([2]Setup!$B$19=[2]Setup!$T$19,'[2]Country populations'!F56,'[2]Country populations'!Q56)</f>
        <v>42914</v>
      </c>
      <c r="G55" s="40">
        <f>IF([2]Setup!$B$19=[2]Setup!$T$19,'[2]Country populations'!G56,'[2]Country populations'!R56)</f>
        <v>42695</v>
      </c>
      <c r="H55" s="40">
        <f>IF([2]Setup!$B$19=[2]Setup!$T$19,'[2]Country populations'!H56,'[2]Country populations'!S56)</f>
        <v>42493</v>
      </c>
      <c r="I55" s="40">
        <f>IF([2]Setup!$B$19=[2]Setup!$T$19,'[2]Country populations'!I56,'[2]Country populations'!T56)</f>
        <v>42275</v>
      </c>
      <c r="J55" s="40">
        <f>IF([2]Setup!$B$19=[2]Setup!$T$19,'[2]Country populations'!J56,'[2]Country populations'!U56)</f>
        <v>42024</v>
      </c>
      <c r="K55" s="40">
        <f>IF([2]Setup!$B$19=[2]Setup!$T$19,'[2]Country populations'!K56,'[2]Country populations'!V56)</f>
        <v>41745</v>
      </c>
      <c r="L55" s="40">
        <f>IF([2]Setup!$B$19=[2]Setup!$T$19,'[2]Country populations'!L56,'[2]Country populations'!W56)</f>
        <v>41439</v>
      </c>
      <c r="M55" s="40" t="str">
        <f t="shared" si="2"/>
        <v>Dominican Republic</v>
      </c>
      <c r="N55" s="40">
        <f>IF([2]Setup!$B$20=[2]Setup!$U$19,'[2]Country populations'!X56,'[2]Country populations'!AI56)</f>
        <v>1805</v>
      </c>
      <c r="O55" s="40">
        <f>IF([2]Setup!$B$20=[2]Setup!$U$19,'[2]Country populations'!Y56,'[2]Country populations'!AJ56)</f>
        <v>1621</v>
      </c>
      <c r="P55" s="40">
        <f>IF([2]Setup!$B$20=[2]Setup!$U$19,'[2]Country populations'!Z56,'[2]Country populations'!AK56)</f>
        <v>1435</v>
      </c>
      <c r="Q55" s="40">
        <f>IF([2]Setup!$B$20=[2]Setup!$U$19,'[2]Country populations'!AA56,'[2]Country populations'!AL56)</f>
        <v>1248</v>
      </c>
      <c r="R55" s="40">
        <f>IF([2]Setup!$B$20=[2]Setup!$U$19,'[2]Country populations'!AB56,'[2]Country populations'!AM56)</f>
        <v>1062</v>
      </c>
      <c r="S55" s="40">
        <f>IF([2]Setup!$B$20=[2]Setup!$U$19,'[2]Country populations'!AC56,'[2]Country populations'!AN56)</f>
        <v>899</v>
      </c>
      <c r="T55" s="40">
        <f>IF([2]Setup!$B$20=[2]Setup!$U$19,'[2]Country populations'!AD56,'[2]Country populations'!AO56)</f>
        <v>738</v>
      </c>
      <c r="U55" s="40">
        <f>IF([2]Setup!$B$20=[2]Setup!$U$19,'[2]Country populations'!AE56,'[2]Country populations'!AP56)</f>
        <v>592</v>
      </c>
      <c r="V55" s="40">
        <f>IF([2]Setup!$B$20=[2]Setup!$U$19,'[2]Country populations'!AF56,'[2]Country populations'!AQ56)</f>
        <v>475</v>
      </c>
      <c r="W55" s="40">
        <f>IF([2]Setup!$B$20=[2]Setup!$U$19,'[2]Country populations'!AG56,'[2]Country populations'!AR56)</f>
        <v>383</v>
      </c>
      <c r="X55" s="40">
        <f>IF([2]Setup!$B$20=[2]Setup!$U$19,'[2]Country populations'!AH56,'[2]Country populations'!AS56)</f>
        <v>316</v>
      </c>
      <c r="Y55" s="40" t="str">
        <f t="shared" si="3"/>
        <v>Dominican Republic</v>
      </c>
      <c r="Z55" s="40">
        <f>IF([2]Setup!$B$21=[2]Setup!$V$19,'[2]Country populations'!AT56,'[2]Country populations'!BE56)</f>
        <v>667</v>
      </c>
      <c r="AA55" s="40">
        <f>IF([2]Setup!$B$21=[2]Setup!$V$19,'[2]Country populations'!AU56,'[2]Country populations'!BF56)</f>
        <v>613</v>
      </c>
      <c r="AB55" s="40">
        <f>IF([2]Setup!$B$21=[2]Setup!$V$19,'[2]Country populations'!AV56,'[2]Country populations'!BG56)</f>
        <v>564</v>
      </c>
      <c r="AC55" s="40">
        <f>IF([2]Setup!$B$21=[2]Setup!$V$19,'[2]Country populations'!AW56,'[2]Country populations'!BH56)</f>
        <v>521</v>
      </c>
      <c r="AD55" s="40">
        <f>IF([2]Setup!$B$21=[2]Setup!$V$19,'[2]Country populations'!AX56,'[2]Country populations'!BI56)</f>
        <v>483</v>
      </c>
      <c r="AE55" s="40">
        <f>IF([2]Setup!$B$21=[2]Setup!$V$19,'[2]Country populations'!AY56,'[2]Country populations'!BJ56)</f>
        <v>450</v>
      </c>
      <c r="AF55" s="40">
        <f>IF([2]Setup!$B$21=[2]Setup!$V$19,'[2]Country populations'!AZ56,'[2]Country populations'!BK56)</f>
        <v>420</v>
      </c>
      <c r="AG55" s="40">
        <f>IF([2]Setup!$B$21=[2]Setup!$V$19,'[2]Country populations'!BA56,'[2]Country populations'!BL56)</f>
        <v>393</v>
      </c>
      <c r="AH55" s="40">
        <f>IF([2]Setup!$B$21=[2]Setup!$V$19,'[2]Country populations'!BB56,'[2]Country populations'!BM56)</f>
        <v>369</v>
      </c>
      <c r="AI55" s="40">
        <f>IF([2]Setup!$B$21=[2]Setup!$V$19,'[2]Country populations'!BC56,'[2]Country populations'!BN56)</f>
        <v>347</v>
      </c>
      <c r="AJ55" s="40">
        <f>IF([2]Setup!$B$21=[2]Setup!$V$19,'[2]Country populations'!BD56,'[2]Country populations'!BO56)</f>
        <v>328</v>
      </c>
    </row>
    <row r="56" spans="1:36" x14ac:dyDescent="0.25">
      <c r="A56" t="str">
        <f>'[2]Country populations'!A57</f>
        <v>Ecuador</v>
      </c>
      <c r="B56" s="40">
        <f>IF([2]Setup!$B$19=[2]Setup!$T$19,'[2]Country populations'!B57,'[2]Country populations'!M57)</f>
        <v>41121</v>
      </c>
      <c r="C56" s="40">
        <f>IF([2]Setup!$B$19=[2]Setup!$T$19,'[2]Country populations'!C57,'[2]Country populations'!N57)</f>
        <v>41689</v>
      </c>
      <c r="D56" s="40">
        <f>IF([2]Setup!$B$19=[2]Setup!$T$19,'[2]Country populations'!D57,'[2]Country populations'!O57)</f>
        <v>42334</v>
      </c>
      <c r="E56" s="40">
        <f>IF([2]Setup!$B$19=[2]Setup!$T$19,'[2]Country populations'!E57,'[2]Country populations'!P57)</f>
        <v>43044</v>
      </c>
      <c r="F56" s="40">
        <f>IF([2]Setup!$B$19=[2]Setup!$T$19,'[2]Country populations'!F57,'[2]Country populations'!Q57)</f>
        <v>43830</v>
      </c>
      <c r="G56" s="40">
        <f>IF([2]Setup!$B$19=[2]Setup!$T$19,'[2]Country populations'!G57,'[2]Country populations'!R57)</f>
        <v>44665</v>
      </c>
      <c r="H56" s="40">
        <f>IF([2]Setup!$B$19=[2]Setup!$T$19,'[2]Country populations'!H57,'[2]Country populations'!S57)</f>
        <v>45554</v>
      </c>
      <c r="I56" s="40">
        <f>IF([2]Setup!$B$19=[2]Setup!$T$19,'[2]Country populations'!I57,'[2]Country populations'!T57)</f>
        <v>46401</v>
      </c>
      <c r="J56" s="40">
        <f>IF([2]Setup!$B$19=[2]Setup!$T$19,'[2]Country populations'!J57,'[2]Country populations'!U57)</f>
        <v>47185</v>
      </c>
      <c r="K56" s="40">
        <f>IF([2]Setup!$B$19=[2]Setup!$T$19,'[2]Country populations'!K57,'[2]Country populations'!V57)</f>
        <v>47927</v>
      </c>
      <c r="L56" s="40">
        <f>IF([2]Setup!$B$19=[2]Setup!$T$19,'[2]Country populations'!L57,'[2]Country populations'!W57)</f>
        <v>48644</v>
      </c>
      <c r="M56" s="40" t="str">
        <f t="shared" si="2"/>
        <v>Ecuador</v>
      </c>
      <c r="N56" s="40">
        <f>IF([2]Setup!$B$20=[2]Setup!$U$19,'[2]Country populations'!X57,'[2]Country populations'!AI57)</f>
        <v>1240</v>
      </c>
      <c r="O56" s="40">
        <f>IF([2]Setup!$B$20=[2]Setup!$U$19,'[2]Country populations'!Y57,'[2]Country populations'!AJ57)</f>
        <v>1340</v>
      </c>
      <c r="P56" s="40">
        <f>IF([2]Setup!$B$20=[2]Setup!$U$19,'[2]Country populations'!Z57,'[2]Country populations'!AK57)</f>
        <v>1433</v>
      </c>
      <c r="Q56" s="40">
        <f>IF([2]Setup!$B$20=[2]Setup!$U$19,'[2]Country populations'!AA57,'[2]Country populations'!AL57)</f>
        <v>1514</v>
      </c>
      <c r="R56" s="40">
        <f>IF([2]Setup!$B$20=[2]Setup!$U$19,'[2]Country populations'!AB57,'[2]Country populations'!AM57)</f>
        <v>1575</v>
      </c>
      <c r="S56" s="40">
        <f>IF([2]Setup!$B$20=[2]Setup!$U$19,'[2]Country populations'!AC57,'[2]Country populations'!AN57)</f>
        <v>1618</v>
      </c>
      <c r="T56" s="40">
        <f>IF([2]Setup!$B$20=[2]Setup!$U$19,'[2]Country populations'!AD57,'[2]Country populations'!AO57)</f>
        <v>1644</v>
      </c>
      <c r="U56" s="40">
        <f>IF([2]Setup!$B$20=[2]Setup!$U$19,'[2]Country populations'!AE57,'[2]Country populations'!AP57)</f>
        <v>1670</v>
      </c>
      <c r="V56" s="40">
        <f>IF([2]Setup!$B$20=[2]Setup!$U$19,'[2]Country populations'!AF57,'[2]Country populations'!AQ57)</f>
        <v>1712</v>
      </c>
      <c r="W56" s="40">
        <f>IF([2]Setup!$B$20=[2]Setup!$U$19,'[2]Country populations'!AG57,'[2]Country populations'!AR57)</f>
        <v>1753</v>
      </c>
      <c r="X56" s="40">
        <f>IF([2]Setup!$B$20=[2]Setup!$U$19,'[2]Country populations'!AH57,'[2]Country populations'!AS57)</f>
        <v>1778</v>
      </c>
      <c r="Y56" s="40" t="str">
        <f t="shared" si="3"/>
        <v>Ecuador</v>
      </c>
      <c r="Z56" s="40">
        <f>IF([2]Setup!$B$21=[2]Setup!$V$19,'[2]Country populations'!AT57,'[2]Country populations'!BE57)</f>
        <v>543</v>
      </c>
      <c r="AA56" s="40">
        <f>IF([2]Setup!$B$21=[2]Setup!$V$19,'[2]Country populations'!AU57,'[2]Country populations'!BF57)</f>
        <v>532</v>
      </c>
      <c r="AB56" s="40">
        <f>IF([2]Setup!$B$21=[2]Setup!$V$19,'[2]Country populations'!AV57,'[2]Country populations'!BG57)</f>
        <v>523</v>
      </c>
      <c r="AC56" s="40">
        <f>IF([2]Setup!$B$21=[2]Setup!$V$19,'[2]Country populations'!AW57,'[2]Country populations'!BH57)</f>
        <v>515</v>
      </c>
      <c r="AD56" s="40">
        <f>IF([2]Setup!$B$21=[2]Setup!$V$19,'[2]Country populations'!AX57,'[2]Country populations'!BI57)</f>
        <v>507</v>
      </c>
      <c r="AE56" s="40">
        <f>IF([2]Setup!$B$21=[2]Setup!$V$19,'[2]Country populations'!AY57,'[2]Country populations'!BJ57)</f>
        <v>500</v>
      </c>
      <c r="AF56" s="40">
        <f>IF([2]Setup!$B$21=[2]Setup!$V$19,'[2]Country populations'!AZ57,'[2]Country populations'!BK57)</f>
        <v>491</v>
      </c>
      <c r="AG56" s="40">
        <f>IF([2]Setup!$B$21=[2]Setup!$V$19,'[2]Country populations'!BA57,'[2]Country populations'!BL57)</f>
        <v>479</v>
      </c>
      <c r="AH56" s="40">
        <f>IF([2]Setup!$B$21=[2]Setup!$V$19,'[2]Country populations'!BB57,'[2]Country populations'!BM57)</f>
        <v>467</v>
      </c>
      <c r="AI56" s="40">
        <f>IF([2]Setup!$B$21=[2]Setup!$V$19,'[2]Country populations'!BC57,'[2]Country populations'!BN57)</f>
        <v>455</v>
      </c>
      <c r="AJ56" s="40">
        <f>IF([2]Setup!$B$21=[2]Setup!$V$19,'[2]Country populations'!BD57,'[2]Country populations'!BO57)</f>
        <v>444</v>
      </c>
    </row>
    <row r="57" spans="1:36" x14ac:dyDescent="0.25">
      <c r="A57" t="str">
        <f>'[2]Country populations'!A58</f>
        <v>Egypt</v>
      </c>
      <c r="B57" s="40">
        <f>IF([2]Setup!$B$19=[2]Setup!$T$19,'[2]Country populations'!B58,'[2]Country populations'!M58)</f>
        <v>11184</v>
      </c>
      <c r="C57" s="40">
        <f>IF([2]Setup!$B$19=[2]Setup!$T$19,'[2]Country populations'!C58,'[2]Country populations'!N58)</f>
        <v>12154</v>
      </c>
      <c r="D57" s="40">
        <f>IF([2]Setup!$B$19=[2]Setup!$T$19,'[2]Country populations'!D58,'[2]Country populations'!O58)</f>
        <v>13410</v>
      </c>
      <c r="E57" s="40">
        <f>IF([2]Setup!$B$19=[2]Setup!$T$19,'[2]Country populations'!E58,'[2]Country populations'!P58)</f>
        <v>14834</v>
      </c>
      <c r="F57" s="40">
        <f>IF([2]Setup!$B$19=[2]Setup!$T$19,'[2]Country populations'!F58,'[2]Country populations'!Q58)</f>
        <v>16189</v>
      </c>
      <c r="G57" s="40">
        <f>IF([2]Setup!$B$19=[2]Setup!$T$19,'[2]Country populations'!G58,'[2]Country populations'!R58)</f>
        <v>17537</v>
      </c>
      <c r="H57" s="40">
        <f>IF([2]Setup!$B$19=[2]Setup!$T$19,'[2]Country populations'!H58,'[2]Country populations'!S58)</f>
        <v>18769</v>
      </c>
      <c r="I57" s="40">
        <f>IF([2]Setup!$B$19=[2]Setup!$T$19,'[2]Country populations'!I58,'[2]Country populations'!T58)</f>
        <v>19897</v>
      </c>
      <c r="J57" s="40">
        <f>IF([2]Setup!$B$19=[2]Setup!$T$19,'[2]Country populations'!J58,'[2]Country populations'!U58)</f>
        <v>20931</v>
      </c>
      <c r="K57" s="40">
        <f>IF([2]Setup!$B$19=[2]Setup!$T$19,'[2]Country populations'!K58,'[2]Country populations'!V58)</f>
        <v>21880</v>
      </c>
      <c r="L57" s="40">
        <f>IF([2]Setup!$B$19=[2]Setup!$T$19,'[2]Country populations'!L58,'[2]Country populations'!W58)</f>
        <v>22780</v>
      </c>
      <c r="M57" s="40" t="str">
        <f t="shared" si="2"/>
        <v>Egypt</v>
      </c>
      <c r="N57" s="40">
        <f>IF([2]Setup!$B$20=[2]Setup!$U$19,'[2]Country populations'!X58,'[2]Country populations'!AI58)</f>
        <v>248</v>
      </c>
      <c r="O57" s="40">
        <f>IF([2]Setup!$B$20=[2]Setup!$U$19,'[2]Country populations'!Y58,'[2]Country populations'!AJ58)</f>
        <v>243</v>
      </c>
      <c r="P57" s="40">
        <f>IF([2]Setup!$B$20=[2]Setup!$U$19,'[2]Country populations'!Z58,'[2]Country populations'!AK58)</f>
        <v>263</v>
      </c>
      <c r="Q57" s="40">
        <f>IF([2]Setup!$B$20=[2]Setup!$U$19,'[2]Country populations'!AA58,'[2]Country populations'!AL58)</f>
        <v>276</v>
      </c>
      <c r="R57" s="40">
        <f>IF([2]Setup!$B$20=[2]Setup!$U$19,'[2]Country populations'!AB58,'[2]Country populations'!AM58)</f>
        <v>286</v>
      </c>
      <c r="S57" s="40">
        <f>IF([2]Setup!$B$20=[2]Setup!$U$19,'[2]Country populations'!AC58,'[2]Country populations'!AN58)</f>
        <v>294</v>
      </c>
      <c r="T57" s="40">
        <f>IF([2]Setup!$B$20=[2]Setup!$U$19,'[2]Country populations'!AD58,'[2]Country populations'!AO58)</f>
        <v>304</v>
      </c>
      <c r="U57" s="40">
        <f>IF([2]Setup!$B$20=[2]Setup!$U$19,'[2]Country populations'!AE58,'[2]Country populations'!AP58)</f>
        <v>312</v>
      </c>
      <c r="V57" s="40">
        <f>IF([2]Setup!$B$20=[2]Setup!$U$19,'[2]Country populations'!AF58,'[2]Country populations'!AQ58)</f>
        <v>318</v>
      </c>
      <c r="W57" s="40">
        <f>IF([2]Setup!$B$20=[2]Setup!$U$19,'[2]Country populations'!AG58,'[2]Country populations'!AR58)</f>
        <v>322</v>
      </c>
      <c r="X57" s="40">
        <f>IF([2]Setup!$B$20=[2]Setup!$U$19,'[2]Country populations'!AH58,'[2]Country populations'!AS58)</f>
        <v>326</v>
      </c>
      <c r="Y57" s="40" t="str">
        <f t="shared" si="3"/>
        <v>Egypt</v>
      </c>
      <c r="Z57" s="40">
        <f>IF([2]Setup!$B$21=[2]Setup!$V$19,'[2]Country populations'!AT58,'[2]Country populations'!BE58)</f>
        <v>149</v>
      </c>
      <c r="AA57" s="40">
        <f>IF([2]Setup!$B$21=[2]Setup!$V$19,'[2]Country populations'!AU58,'[2]Country populations'!BF58)</f>
        <v>156</v>
      </c>
      <c r="AB57" s="40">
        <f>IF([2]Setup!$B$21=[2]Setup!$V$19,'[2]Country populations'!AV58,'[2]Country populations'!BG58)</f>
        <v>160</v>
      </c>
      <c r="AC57" s="40">
        <f>IF([2]Setup!$B$21=[2]Setup!$V$19,'[2]Country populations'!AW58,'[2]Country populations'!BH58)</f>
        <v>162</v>
      </c>
      <c r="AD57" s="40">
        <f>IF([2]Setup!$B$21=[2]Setup!$V$19,'[2]Country populations'!AX58,'[2]Country populations'!BI58)</f>
        <v>163</v>
      </c>
      <c r="AE57" s="40">
        <f>IF([2]Setup!$B$21=[2]Setup!$V$19,'[2]Country populations'!AY58,'[2]Country populations'!BJ58)</f>
        <v>163</v>
      </c>
      <c r="AF57" s="40">
        <f>IF([2]Setup!$B$21=[2]Setup!$V$19,'[2]Country populations'!AZ58,'[2]Country populations'!BK58)</f>
        <v>162</v>
      </c>
      <c r="AG57" s="40">
        <f>IF([2]Setup!$B$21=[2]Setup!$V$19,'[2]Country populations'!BA58,'[2]Country populations'!BL58)</f>
        <v>161</v>
      </c>
      <c r="AH57" s="40">
        <f>IF([2]Setup!$B$21=[2]Setup!$V$19,'[2]Country populations'!BB58,'[2]Country populations'!BM58)</f>
        <v>160</v>
      </c>
      <c r="AI57" s="40">
        <f>IF([2]Setup!$B$21=[2]Setup!$V$19,'[2]Country populations'!BC58,'[2]Country populations'!BN58)</f>
        <v>159</v>
      </c>
      <c r="AJ57" s="40">
        <f>IF([2]Setup!$B$21=[2]Setup!$V$19,'[2]Country populations'!BD58,'[2]Country populations'!BO58)</f>
        <v>158</v>
      </c>
    </row>
    <row r="58" spans="1:36" x14ac:dyDescent="0.25">
      <c r="A58" t="str">
        <f>'[2]Country populations'!A59</f>
        <v>El Salvador</v>
      </c>
      <c r="B58" s="40">
        <f>IF([2]Setup!$B$19=[2]Setup!$T$19,'[2]Country populations'!B59,'[2]Country populations'!M59)</f>
        <v>23509</v>
      </c>
      <c r="C58" s="40">
        <f>IF([2]Setup!$B$19=[2]Setup!$T$19,'[2]Country populations'!C59,'[2]Country populations'!N59)</f>
        <v>23611</v>
      </c>
      <c r="D58" s="40">
        <f>IF([2]Setup!$B$19=[2]Setup!$T$19,'[2]Country populations'!D59,'[2]Country populations'!O59)</f>
        <v>23679</v>
      </c>
      <c r="E58" s="40">
        <f>IF([2]Setup!$B$19=[2]Setup!$T$19,'[2]Country populations'!E59,'[2]Country populations'!P59)</f>
        <v>23727</v>
      </c>
      <c r="F58" s="40">
        <f>IF([2]Setup!$B$19=[2]Setup!$T$19,'[2]Country populations'!F59,'[2]Country populations'!Q59)</f>
        <v>23758</v>
      </c>
      <c r="G58" s="40">
        <f>IF([2]Setup!$B$19=[2]Setup!$T$19,'[2]Country populations'!G59,'[2]Country populations'!R59)</f>
        <v>23772</v>
      </c>
      <c r="H58" s="40">
        <f>IF([2]Setup!$B$19=[2]Setup!$T$19,'[2]Country populations'!H59,'[2]Country populations'!S59)</f>
        <v>23790</v>
      </c>
      <c r="I58" s="40">
        <f>IF([2]Setup!$B$19=[2]Setup!$T$19,'[2]Country populations'!I59,'[2]Country populations'!T59)</f>
        <v>23808</v>
      </c>
      <c r="J58" s="40">
        <f>IF([2]Setup!$B$19=[2]Setup!$T$19,'[2]Country populations'!J59,'[2]Country populations'!U59)</f>
        <v>23824</v>
      </c>
      <c r="K58" s="40">
        <f>IF([2]Setup!$B$19=[2]Setup!$T$19,'[2]Country populations'!K59,'[2]Country populations'!V59)</f>
        <v>23849</v>
      </c>
      <c r="L58" s="40">
        <f>IF([2]Setup!$B$19=[2]Setup!$T$19,'[2]Country populations'!L59,'[2]Country populations'!W59)</f>
        <v>23887</v>
      </c>
      <c r="M58" s="40" t="str">
        <f t="shared" si="2"/>
        <v>El Salvador</v>
      </c>
      <c r="N58" s="40">
        <f>IF([2]Setup!$B$20=[2]Setup!$U$19,'[2]Country populations'!X59,'[2]Country populations'!AI59)</f>
        <v>890</v>
      </c>
      <c r="O58" s="40">
        <f>IF([2]Setup!$B$20=[2]Setup!$U$19,'[2]Country populations'!Y59,'[2]Country populations'!AJ59)</f>
        <v>936</v>
      </c>
      <c r="P58" s="40">
        <f>IF([2]Setup!$B$20=[2]Setup!$U$19,'[2]Country populations'!Z59,'[2]Country populations'!AK59)</f>
        <v>965</v>
      </c>
      <c r="Q58" s="40">
        <f>IF([2]Setup!$B$20=[2]Setup!$U$19,'[2]Country populations'!AA59,'[2]Country populations'!AL59)</f>
        <v>990</v>
      </c>
      <c r="R58" s="40">
        <f>IF([2]Setup!$B$20=[2]Setup!$U$19,'[2]Country populations'!AB59,'[2]Country populations'!AM59)</f>
        <v>1007</v>
      </c>
      <c r="S58" s="40">
        <f>IF([2]Setup!$B$20=[2]Setup!$U$19,'[2]Country populations'!AC59,'[2]Country populations'!AN59)</f>
        <v>1023</v>
      </c>
      <c r="T58" s="40">
        <f>IF([2]Setup!$B$20=[2]Setup!$U$19,'[2]Country populations'!AD59,'[2]Country populations'!AO59)</f>
        <v>1036</v>
      </c>
      <c r="U58" s="40">
        <f>IF([2]Setup!$B$20=[2]Setup!$U$19,'[2]Country populations'!AE59,'[2]Country populations'!AP59)</f>
        <v>1050</v>
      </c>
      <c r="V58" s="40">
        <f>IF([2]Setup!$B$20=[2]Setup!$U$19,'[2]Country populations'!AF59,'[2]Country populations'!AQ59)</f>
        <v>1065</v>
      </c>
      <c r="W58" s="40">
        <f>IF([2]Setup!$B$20=[2]Setup!$U$19,'[2]Country populations'!AG59,'[2]Country populations'!AR59)</f>
        <v>1076</v>
      </c>
      <c r="X58" s="40">
        <f>IF([2]Setup!$B$20=[2]Setup!$U$19,'[2]Country populations'!AH59,'[2]Country populations'!AS59)</f>
        <v>1079</v>
      </c>
      <c r="Y58" s="40" t="str">
        <f t="shared" si="3"/>
        <v>El Salvador</v>
      </c>
      <c r="Z58" s="40">
        <f>IF([2]Setup!$B$21=[2]Setup!$V$19,'[2]Country populations'!AT59,'[2]Country populations'!BE59)</f>
        <v>413</v>
      </c>
      <c r="AA58" s="40">
        <f>IF([2]Setup!$B$21=[2]Setup!$V$19,'[2]Country populations'!AU59,'[2]Country populations'!BF59)</f>
        <v>404</v>
      </c>
      <c r="AB58" s="40">
        <f>IF([2]Setup!$B$21=[2]Setup!$V$19,'[2]Country populations'!AV59,'[2]Country populations'!BG59)</f>
        <v>388</v>
      </c>
      <c r="AC58" s="40">
        <f>IF([2]Setup!$B$21=[2]Setup!$V$19,'[2]Country populations'!AW59,'[2]Country populations'!BH59)</f>
        <v>372</v>
      </c>
      <c r="AD58" s="40">
        <f>IF([2]Setup!$B$21=[2]Setup!$V$19,'[2]Country populations'!AX59,'[2]Country populations'!BI59)</f>
        <v>355</v>
      </c>
      <c r="AE58" s="40">
        <f>IF([2]Setup!$B$21=[2]Setup!$V$19,'[2]Country populations'!AY59,'[2]Country populations'!BJ59)</f>
        <v>338</v>
      </c>
      <c r="AF58" s="40">
        <f>IF([2]Setup!$B$21=[2]Setup!$V$19,'[2]Country populations'!AZ59,'[2]Country populations'!BK59)</f>
        <v>322</v>
      </c>
      <c r="AG58" s="40">
        <f>IF([2]Setup!$B$21=[2]Setup!$V$19,'[2]Country populations'!BA59,'[2]Country populations'!BL59)</f>
        <v>306</v>
      </c>
      <c r="AH58" s="40">
        <f>IF([2]Setup!$B$21=[2]Setup!$V$19,'[2]Country populations'!BB59,'[2]Country populations'!BM59)</f>
        <v>291</v>
      </c>
      <c r="AI58" s="40">
        <f>IF([2]Setup!$B$21=[2]Setup!$V$19,'[2]Country populations'!BC59,'[2]Country populations'!BN59)</f>
        <v>277</v>
      </c>
      <c r="AJ58" s="40">
        <f>IF([2]Setup!$B$21=[2]Setup!$V$19,'[2]Country populations'!BD59,'[2]Country populations'!BO59)</f>
        <v>264</v>
      </c>
    </row>
    <row r="59" spans="1:36" x14ac:dyDescent="0.25">
      <c r="A59" t="str">
        <f>'[2]Country populations'!A60</f>
        <v>Equatorial Guinea</v>
      </c>
      <c r="B59" s="40">
        <f>IF([2]Setup!$B$19=[2]Setup!$T$19,'[2]Country populations'!B60,'[2]Country populations'!M60)</f>
        <v>26712</v>
      </c>
      <c r="C59" s="40">
        <f>IF([2]Setup!$B$19=[2]Setup!$T$19,'[2]Country populations'!C60,'[2]Country populations'!N60)</f>
        <v>27606</v>
      </c>
      <c r="D59" s="40">
        <f>IF([2]Setup!$B$19=[2]Setup!$T$19,'[2]Country populations'!D60,'[2]Country populations'!O60)</f>
        <v>28458</v>
      </c>
      <c r="E59" s="40">
        <f>IF([2]Setup!$B$19=[2]Setup!$T$19,'[2]Country populations'!E60,'[2]Country populations'!P60)</f>
        <v>29284</v>
      </c>
      <c r="F59" s="40">
        <f>IF([2]Setup!$B$19=[2]Setup!$T$19,'[2]Country populations'!F60,'[2]Country populations'!Q60)</f>
        <v>30093</v>
      </c>
      <c r="G59" s="40">
        <f>IF([2]Setup!$B$19=[2]Setup!$T$19,'[2]Country populations'!G60,'[2]Country populations'!R60)</f>
        <v>30898</v>
      </c>
      <c r="H59" s="40">
        <f>IF([2]Setup!$B$19=[2]Setup!$T$19,'[2]Country populations'!H60,'[2]Country populations'!S60)</f>
        <v>31727</v>
      </c>
      <c r="I59" s="40">
        <f>IF([2]Setup!$B$19=[2]Setup!$T$19,'[2]Country populations'!I60,'[2]Country populations'!T60)</f>
        <v>32568</v>
      </c>
      <c r="J59" s="40">
        <f>IF([2]Setup!$B$19=[2]Setup!$T$19,'[2]Country populations'!J60,'[2]Country populations'!U60)</f>
        <v>33412</v>
      </c>
      <c r="K59" s="40">
        <f>IF([2]Setup!$B$19=[2]Setup!$T$19,'[2]Country populations'!K60,'[2]Country populations'!V60)</f>
        <v>34284</v>
      </c>
      <c r="L59" s="40">
        <f>IF([2]Setup!$B$19=[2]Setup!$T$19,'[2]Country populations'!L60,'[2]Country populations'!W60)</f>
        <v>35159</v>
      </c>
      <c r="M59" s="40" t="str">
        <f t="shared" si="2"/>
        <v>Equatorial Guinea</v>
      </c>
      <c r="N59" s="40">
        <f>IF([2]Setup!$B$20=[2]Setup!$U$19,'[2]Country populations'!X60,'[2]Country populations'!AI60)</f>
        <v>2937</v>
      </c>
      <c r="O59" s="40">
        <f>IF([2]Setup!$B$20=[2]Setup!$U$19,'[2]Country populations'!Y60,'[2]Country populations'!AJ60)</f>
        <v>3083</v>
      </c>
      <c r="P59" s="40">
        <f>IF([2]Setup!$B$20=[2]Setup!$U$19,'[2]Country populations'!Z60,'[2]Country populations'!AK60)</f>
        <v>3195</v>
      </c>
      <c r="Q59" s="40">
        <f>IF([2]Setup!$B$20=[2]Setup!$U$19,'[2]Country populations'!AA60,'[2]Country populations'!AL60)</f>
        <v>3300</v>
      </c>
      <c r="R59" s="40">
        <f>IF([2]Setup!$B$20=[2]Setup!$U$19,'[2]Country populations'!AB60,'[2]Country populations'!AM60)</f>
        <v>3389</v>
      </c>
      <c r="S59" s="40">
        <f>IF([2]Setup!$B$20=[2]Setup!$U$19,'[2]Country populations'!AC60,'[2]Country populations'!AN60)</f>
        <v>3234</v>
      </c>
      <c r="T59" s="40">
        <f>IF([2]Setup!$B$20=[2]Setup!$U$19,'[2]Country populations'!AD60,'[2]Country populations'!AO60)</f>
        <v>3093</v>
      </c>
      <c r="U59" s="40">
        <f>IF([2]Setup!$B$20=[2]Setup!$U$19,'[2]Country populations'!AE60,'[2]Country populations'!AP60)</f>
        <v>2918</v>
      </c>
      <c r="V59" s="40">
        <f>IF([2]Setup!$B$20=[2]Setup!$U$19,'[2]Country populations'!AF60,'[2]Country populations'!AQ60)</f>
        <v>2743</v>
      </c>
      <c r="W59" s="40">
        <f>IF([2]Setup!$B$20=[2]Setup!$U$19,'[2]Country populations'!AG60,'[2]Country populations'!AR60)</f>
        <v>2538</v>
      </c>
      <c r="X59" s="40">
        <f>IF([2]Setup!$B$20=[2]Setup!$U$19,'[2]Country populations'!AH60,'[2]Country populations'!AS60)</f>
        <v>2339</v>
      </c>
      <c r="Y59" s="40" t="str">
        <f t="shared" si="3"/>
        <v>Equatorial Guinea</v>
      </c>
      <c r="Z59" s="40">
        <f>IF([2]Setup!$B$21=[2]Setup!$V$19,'[2]Country populations'!AT60,'[2]Country populations'!BE60)</f>
        <v>1426</v>
      </c>
      <c r="AA59" s="40">
        <f>IF([2]Setup!$B$21=[2]Setup!$V$19,'[2]Country populations'!AU60,'[2]Country populations'!BF60)</f>
        <v>1418</v>
      </c>
      <c r="AB59" s="40">
        <f>IF([2]Setup!$B$21=[2]Setup!$V$19,'[2]Country populations'!AV60,'[2]Country populations'!BG60)</f>
        <v>1402</v>
      </c>
      <c r="AC59" s="40">
        <f>IF([2]Setup!$B$21=[2]Setup!$V$19,'[2]Country populations'!AW60,'[2]Country populations'!BH60)</f>
        <v>1380</v>
      </c>
      <c r="AD59" s="40">
        <f>IF([2]Setup!$B$21=[2]Setup!$V$19,'[2]Country populations'!AX60,'[2]Country populations'!BI60)</f>
        <v>1353</v>
      </c>
      <c r="AE59" s="40">
        <f>IF([2]Setup!$B$21=[2]Setup!$V$19,'[2]Country populations'!AY60,'[2]Country populations'!BJ60)</f>
        <v>1322</v>
      </c>
      <c r="AF59" s="40">
        <f>IF([2]Setup!$B$21=[2]Setup!$V$19,'[2]Country populations'!AZ60,'[2]Country populations'!BK60)</f>
        <v>1287</v>
      </c>
      <c r="AG59" s="40">
        <f>IF([2]Setup!$B$21=[2]Setup!$V$19,'[2]Country populations'!BA60,'[2]Country populations'!BL60)</f>
        <v>1250</v>
      </c>
      <c r="AH59" s="40">
        <f>IF([2]Setup!$B$21=[2]Setup!$V$19,'[2]Country populations'!BB60,'[2]Country populations'!BM60)</f>
        <v>1214</v>
      </c>
      <c r="AI59" s="40">
        <f>IF([2]Setup!$B$21=[2]Setup!$V$19,'[2]Country populations'!BC60,'[2]Country populations'!BN60)</f>
        <v>1180</v>
      </c>
      <c r="AJ59" s="40">
        <f>IF([2]Setup!$B$21=[2]Setup!$V$19,'[2]Country populations'!BD60,'[2]Country populations'!BO60)</f>
        <v>1147</v>
      </c>
    </row>
    <row r="60" spans="1:36" x14ac:dyDescent="0.25">
      <c r="A60" t="str">
        <f>'[2]Country populations'!A61</f>
        <v>Eritrea</v>
      </c>
      <c r="B60" s="40">
        <f>IF([2]Setup!$B$19=[2]Setup!$T$19,'[2]Country populations'!B61,'[2]Country populations'!M61)</f>
        <v>22078</v>
      </c>
      <c r="C60" s="40">
        <f>IF([2]Setup!$B$19=[2]Setup!$T$19,'[2]Country populations'!C61,'[2]Country populations'!N61)</f>
        <v>21938</v>
      </c>
      <c r="D60" s="40">
        <f>IF([2]Setup!$B$19=[2]Setup!$T$19,'[2]Country populations'!D61,'[2]Country populations'!O61)</f>
        <v>21842</v>
      </c>
      <c r="E60" s="40">
        <f>IF([2]Setup!$B$19=[2]Setup!$T$19,'[2]Country populations'!E61,'[2]Country populations'!P61)</f>
        <v>21794</v>
      </c>
      <c r="F60" s="40">
        <f>IF([2]Setup!$B$19=[2]Setup!$T$19,'[2]Country populations'!F61,'[2]Country populations'!Q61)</f>
        <v>21801</v>
      </c>
      <c r="G60" s="40">
        <f>IF([2]Setup!$B$19=[2]Setup!$T$19,'[2]Country populations'!G61,'[2]Country populations'!R61)</f>
        <v>21836</v>
      </c>
      <c r="H60" s="40">
        <f>IF([2]Setup!$B$19=[2]Setup!$T$19,'[2]Country populations'!H61,'[2]Country populations'!S61)</f>
        <v>21851</v>
      </c>
      <c r="I60" s="40">
        <f>IF([2]Setup!$B$19=[2]Setup!$T$19,'[2]Country populations'!I61,'[2]Country populations'!T61)</f>
        <v>21817</v>
      </c>
      <c r="J60" s="40">
        <f>IF([2]Setup!$B$19=[2]Setup!$T$19,'[2]Country populations'!J61,'[2]Country populations'!U61)</f>
        <v>21747</v>
      </c>
      <c r="K60" s="40">
        <f>IF([2]Setup!$B$19=[2]Setup!$T$19,'[2]Country populations'!K61,'[2]Country populations'!V61)</f>
        <v>21638</v>
      </c>
      <c r="L60" s="40">
        <f>IF([2]Setup!$B$19=[2]Setup!$T$19,'[2]Country populations'!L61,'[2]Country populations'!W61)</f>
        <v>21502</v>
      </c>
      <c r="M60" s="40" t="str">
        <f t="shared" si="2"/>
        <v>Eritrea</v>
      </c>
      <c r="N60" s="40">
        <f>IF([2]Setup!$B$20=[2]Setup!$U$19,'[2]Country populations'!X61,'[2]Country populations'!AI61)</f>
        <v>4256</v>
      </c>
      <c r="O60" s="40">
        <f>IF([2]Setup!$B$20=[2]Setup!$U$19,'[2]Country populations'!Y61,'[2]Country populations'!AJ61)</f>
        <v>3851</v>
      </c>
      <c r="P60" s="40">
        <f>IF([2]Setup!$B$20=[2]Setup!$U$19,'[2]Country populations'!Z61,'[2]Country populations'!AK61)</f>
        <v>3484</v>
      </c>
      <c r="Q60" s="40">
        <f>IF([2]Setup!$B$20=[2]Setup!$U$19,'[2]Country populations'!AA61,'[2]Country populations'!AL61)</f>
        <v>3129</v>
      </c>
      <c r="R60" s="40">
        <f>IF([2]Setup!$B$20=[2]Setup!$U$19,'[2]Country populations'!AB61,'[2]Country populations'!AM61)</f>
        <v>2808</v>
      </c>
      <c r="S60" s="40">
        <f>IF([2]Setup!$B$20=[2]Setup!$U$19,'[2]Country populations'!AC61,'[2]Country populations'!AN61)</f>
        <v>2564</v>
      </c>
      <c r="T60" s="40">
        <f>IF([2]Setup!$B$20=[2]Setup!$U$19,'[2]Country populations'!AD61,'[2]Country populations'!AO61)</f>
        <v>2402</v>
      </c>
      <c r="U60" s="40">
        <f>IF([2]Setup!$B$20=[2]Setup!$U$19,'[2]Country populations'!AE61,'[2]Country populations'!AP61)</f>
        <v>2298</v>
      </c>
      <c r="V60" s="40">
        <f>IF([2]Setup!$B$20=[2]Setup!$U$19,'[2]Country populations'!AF61,'[2]Country populations'!AQ61)</f>
        <v>2221</v>
      </c>
      <c r="W60" s="40">
        <f>IF([2]Setup!$B$20=[2]Setup!$U$19,'[2]Country populations'!AG61,'[2]Country populations'!AR61)</f>
        <v>2176</v>
      </c>
      <c r="X60" s="40">
        <f>IF([2]Setup!$B$20=[2]Setup!$U$19,'[2]Country populations'!AH61,'[2]Country populations'!AS61)</f>
        <v>2153</v>
      </c>
      <c r="Y60" s="40" t="str">
        <f t="shared" si="3"/>
        <v>Eritrea</v>
      </c>
      <c r="Z60" s="40">
        <f>IF([2]Setup!$B$21=[2]Setup!$V$19,'[2]Country populations'!AT61,'[2]Country populations'!BE61)</f>
        <v>1045</v>
      </c>
      <c r="AA60" s="40">
        <f>IF([2]Setup!$B$21=[2]Setup!$V$19,'[2]Country populations'!AU61,'[2]Country populations'!BF61)</f>
        <v>966</v>
      </c>
      <c r="AB60" s="40">
        <f>IF([2]Setup!$B$21=[2]Setup!$V$19,'[2]Country populations'!AV61,'[2]Country populations'!BG61)</f>
        <v>895</v>
      </c>
      <c r="AC60" s="40">
        <f>IF([2]Setup!$B$21=[2]Setup!$V$19,'[2]Country populations'!AW61,'[2]Country populations'!BH61)</f>
        <v>834</v>
      </c>
      <c r="AD60" s="40">
        <f>IF([2]Setup!$B$21=[2]Setup!$V$19,'[2]Country populations'!AX61,'[2]Country populations'!BI61)</f>
        <v>783</v>
      </c>
      <c r="AE60" s="40">
        <f>IF([2]Setup!$B$21=[2]Setup!$V$19,'[2]Country populations'!AY61,'[2]Country populations'!BJ61)</f>
        <v>740</v>
      </c>
      <c r="AF60" s="40">
        <f>IF([2]Setup!$B$21=[2]Setup!$V$19,'[2]Country populations'!AZ61,'[2]Country populations'!BK61)</f>
        <v>701</v>
      </c>
      <c r="AG60" s="40">
        <f>IF([2]Setup!$B$21=[2]Setup!$V$19,'[2]Country populations'!BA61,'[2]Country populations'!BL61)</f>
        <v>664</v>
      </c>
      <c r="AH60" s="40">
        <f>IF([2]Setup!$B$21=[2]Setup!$V$19,'[2]Country populations'!BB61,'[2]Country populations'!BM61)</f>
        <v>633</v>
      </c>
      <c r="AI60" s="40">
        <f>IF([2]Setup!$B$21=[2]Setup!$V$19,'[2]Country populations'!BC61,'[2]Country populations'!BN61)</f>
        <v>606</v>
      </c>
      <c r="AJ60" s="40">
        <f>IF([2]Setup!$B$21=[2]Setup!$V$19,'[2]Country populations'!BD61,'[2]Country populations'!BO61)</f>
        <v>583</v>
      </c>
    </row>
    <row r="61" spans="1:36" x14ac:dyDescent="0.25">
      <c r="A61" t="str">
        <f>'[2]Country populations'!A62</f>
        <v>Estonia</v>
      </c>
      <c r="B61" s="40">
        <f>IF([2]Setup!$B$19=[2]Setup!$T$19,'[2]Country populations'!B62,'[2]Country populations'!M62)</f>
        <v>8587</v>
      </c>
      <c r="C61" s="40">
        <f>IF([2]Setup!$B$19=[2]Setup!$T$19,'[2]Country populations'!C62,'[2]Country populations'!N62)</f>
        <v>8785</v>
      </c>
      <c r="D61" s="40">
        <f>IF([2]Setup!$B$19=[2]Setup!$T$19,'[2]Country populations'!D62,'[2]Country populations'!O62)</f>
        <v>8956</v>
      </c>
      <c r="E61" s="40">
        <f>IF([2]Setup!$B$19=[2]Setup!$T$19,'[2]Country populations'!E62,'[2]Country populations'!P62)</f>
        <v>9101</v>
      </c>
      <c r="F61" s="40">
        <f>IF([2]Setup!$B$19=[2]Setup!$T$19,'[2]Country populations'!F62,'[2]Country populations'!Q62)</f>
        <v>9222</v>
      </c>
      <c r="G61" s="40">
        <f>IF([2]Setup!$B$19=[2]Setup!$T$19,'[2]Country populations'!G62,'[2]Country populations'!R62)</f>
        <v>9323</v>
      </c>
      <c r="H61" s="40">
        <f>IF([2]Setup!$B$19=[2]Setup!$T$19,'[2]Country populations'!H62,'[2]Country populations'!S62)</f>
        <v>9407</v>
      </c>
      <c r="I61" s="40">
        <f>IF([2]Setup!$B$19=[2]Setup!$T$19,'[2]Country populations'!I62,'[2]Country populations'!T62)</f>
        <v>9474</v>
      </c>
      <c r="J61" s="40">
        <f>IF([2]Setup!$B$19=[2]Setup!$T$19,'[2]Country populations'!J62,'[2]Country populations'!U62)</f>
        <v>9526</v>
      </c>
      <c r="K61" s="40">
        <f>IF([2]Setup!$B$19=[2]Setup!$T$19,'[2]Country populations'!K62,'[2]Country populations'!V62)</f>
        <v>9566</v>
      </c>
      <c r="L61" s="40">
        <f>IF([2]Setup!$B$19=[2]Setup!$T$19,'[2]Country populations'!L62,'[2]Country populations'!W62)</f>
        <v>9594</v>
      </c>
      <c r="M61" s="40" t="str">
        <f t="shared" si="2"/>
        <v>Estonia</v>
      </c>
      <c r="N61" s="40">
        <f>IF([2]Setup!$B$20=[2]Setup!$U$19,'[2]Country populations'!X62,'[2]Country populations'!AI62)</f>
        <v>209</v>
      </c>
      <c r="O61" s="40">
        <f>IF([2]Setup!$B$20=[2]Setup!$U$19,'[2]Country populations'!Y62,'[2]Country populations'!AJ62)</f>
        <v>238</v>
      </c>
      <c r="P61" s="40">
        <f>IF([2]Setup!$B$20=[2]Setup!$U$19,'[2]Country populations'!Z62,'[2]Country populations'!AK62)</f>
        <v>263</v>
      </c>
      <c r="Q61" s="40">
        <f>IF([2]Setup!$B$20=[2]Setup!$U$19,'[2]Country populations'!AA62,'[2]Country populations'!AL62)</f>
        <v>287</v>
      </c>
      <c r="R61" s="40">
        <f>IF([2]Setup!$B$20=[2]Setup!$U$19,'[2]Country populations'!AB62,'[2]Country populations'!AM62)</f>
        <v>308</v>
      </c>
      <c r="S61" s="40">
        <f>IF([2]Setup!$B$20=[2]Setup!$U$19,'[2]Country populations'!AC62,'[2]Country populations'!AN62)</f>
        <v>327</v>
      </c>
      <c r="T61" s="40">
        <f>IF([2]Setup!$B$20=[2]Setup!$U$19,'[2]Country populations'!AD62,'[2]Country populations'!AO62)</f>
        <v>344</v>
      </c>
      <c r="U61" s="40">
        <f>IF([2]Setup!$B$20=[2]Setup!$U$19,'[2]Country populations'!AE62,'[2]Country populations'!AP62)</f>
        <v>359</v>
      </c>
      <c r="V61" s="40">
        <f>IF([2]Setup!$B$20=[2]Setup!$U$19,'[2]Country populations'!AF62,'[2]Country populations'!AQ62)</f>
        <v>372</v>
      </c>
      <c r="W61" s="40">
        <f>IF([2]Setup!$B$20=[2]Setup!$U$19,'[2]Country populations'!AG62,'[2]Country populations'!AR62)</f>
        <v>382</v>
      </c>
      <c r="X61" s="40">
        <f>IF([2]Setup!$B$20=[2]Setup!$U$19,'[2]Country populations'!AH62,'[2]Country populations'!AS62)</f>
        <v>389</v>
      </c>
      <c r="Y61" s="40" t="str">
        <f t="shared" si="3"/>
        <v>Estonia</v>
      </c>
      <c r="Z61" s="40">
        <f>IF([2]Setup!$B$21=[2]Setup!$V$19,'[2]Country populations'!AT62,'[2]Country populations'!BE62)</f>
        <v>77</v>
      </c>
      <c r="AA61" s="40">
        <f>IF([2]Setup!$B$21=[2]Setup!$V$19,'[2]Country populations'!AU62,'[2]Country populations'!BF62)</f>
        <v>78</v>
      </c>
      <c r="AB61" s="40">
        <f>IF([2]Setup!$B$21=[2]Setup!$V$19,'[2]Country populations'!AV62,'[2]Country populations'!BG62)</f>
        <v>79</v>
      </c>
      <c r="AC61" s="40">
        <f>IF([2]Setup!$B$21=[2]Setup!$V$19,'[2]Country populations'!AW62,'[2]Country populations'!BH62)</f>
        <v>78</v>
      </c>
      <c r="AD61" s="40">
        <f>IF([2]Setup!$B$21=[2]Setup!$V$19,'[2]Country populations'!AX62,'[2]Country populations'!BI62)</f>
        <v>78</v>
      </c>
      <c r="AE61" s="40">
        <f>IF([2]Setup!$B$21=[2]Setup!$V$19,'[2]Country populations'!AY62,'[2]Country populations'!BJ62)</f>
        <v>76</v>
      </c>
      <c r="AF61" s="40">
        <f>IF([2]Setup!$B$21=[2]Setup!$V$19,'[2]Country populations'!AZ62,'[2]Country populations'!BK62)</f>
        <v>75</v>
      </c>
      <c r="AG61" s="40">
        <f>IF([2]Setup!$B$21=[2]Setup!$V$19,'[2]Country populations'!BA62,'[2]Country populations'!BL62)</f>
        <v>73</v>
      </c>
      <c r="AH61" s="40">
        <f>IF([2]Setup!$B$21=[2]Setup!$V$19,'[2]Country populations'!BB62,'[2]Country populations'!BM62)</f>
        <v>71</v>
      </c>
      <c r="AI61" s="40">
        <f>IF([2]Setup!$B$21=[2]Setup!$V$19,'[2]Country populations'!BC62,'[2]Country populations'!BN62)</f>
        <v>69</v>
      </c>
      <c r="AJ61" s="40">
        <f>IF([2]Setup!$B$21=[2]Setup!$V$19,'[2]Country populations'!BD62,'[2]Country populations'!BO62)</f>
        <v>67</v>
      </c>
    </row>
    <row r="62" spans="1:36" x14ac:dyDescent="0.25">
      <c r="A62" t="str">
        <f>'[2]Country populations'!A63</f>
        <v>Ethiopia</v>
      </c>
      <c r="B62" s="40">
        <f>IF([2]Setup!$B$19=[2]Setup!$T$19,'[2]Country populations'!B63,'[2]Country populations'!M63)</f>
        <v>666205</v>
      </c>
      <c r="C62" s="40">
        <f>IF([2]Setup!$B$19=[2]Setup!$T$19,'[2]Country populations'!C63,'[2]Country populations'!N63)</f>
        <v>664746</v>
      </c>
      <c r="D62" s="40">
        <f>IF([2]Setup!$B$19=[2]Setup!$T$19,'[2]Country populations'!D63,'[2]Country populations'!O63)</f>
        <v>665555</v>
      </c>
      <c r="E62" s="40">
        <f>IF([2]Setup!$B$19=[2]Setup!$T$19,'[2]Country populations'!E63,'[2]Country populations'!P63)</f>
        <v>668091</v>
      </c>
      <c r="F62" s="40">
        <f>IF([2]Setup!$B$19=[2]Setup!$T$19,'[2]Country populations'!F63,'[2]Country populations'!Q63)</f>
        <v>669892</v>
      </c>
      <c r="G62" s="40">
        <f>IF([2]Setup!$B$19=[2]Setup!$T$19,'[2]Country populations'!G63,'[2]Country populations'!R63)</f>
        <v>670169</v>
      </c>
      <c r="H62" s="40">
        <f>IF([2]Setup!$B$19=[2]Setup!$T$19,'[2]Country populations'!H63,'[2]Country populations'!S63)</f>
        <v>669295</v>
      </c>
      <c r="I62" s="40">
        <f>IF([2]Setup!$B$19=[2]Setup!$T$19,'[2]Country populations'!I63,'[2]Country populations'!T63)</f>
        <v>667257</v>
      </c>
      <c r="J62" s="40">
        <f>IF([2]Setup!$B$19=[2]Setup!$T$19,'[2]Country populations'!J63,'[2]Country populations'!U63)</f>
        <v>664193</v>
      </c>
      <c r="K62" s="40">
        <f>IF([2]Setup!$B$19=[2]Setup!$T$19,'[2]Country populations'!K63,'[2]Country populations'!V63)</f>
        <v>660159</v>
      </c>
      <c r="L62" s="40">
        <f>IF([2]Setup!$B$19=[2]Setup!$T$19,'[2]Country populations'!L63,'[2]Country populations'!W63)</f>
        <v>655331</v>
      </c>
      <c r="M62" s="40" t="str">
        <f t="shared" si="2"/>
        <v>Ethiopia</v>
      </c>
      <c r="N62" s="40">
        <f>IF([2]Setup!$B$20=[2]Setup!$U$19,'[2]Country populations'!X63,'[2]Country populations'!AI63)</f>
        <v>159033</v>
      </c>
      <c r="O62" s="40">
        <f>IF([2]Setup!$B$20=[2]Setup!$U$19,'[2]Country populations'!Y63,'[2]Country populations'!AJ63)</f>
        <v>141910</v>
      </c>
      <c r="P62" s="40">
        <f>IF([2]Setup!$B$20=[2]Setup!$U$19,'[2]Country populations'!Z63,'[2]Country populations'!AK63)</f>
        <v>130215</v>
      </c>
      <c r="Q62" s="40">
        <f>IF([2]Setup!$B$20=[2]Setup!$U$19,'[2]Country populations'!AA63,'[2]Country populations'!AL63)</f>
        <v>119544</v>
      </c>
      <c r="R62" s="40">
        <f>IF([2]Setup!$B$20=[2]Setup!$U$19,'[2]Country populations'!AB63,'[2]Country populations'!AM63)</f>
        <v>110089</v>
      </c>
      <c r="S62" s="40">
        <f>IF([2]Setup!$B$20=[2]Setup!$U$19,'[2]Country populations'!AC63,'[2]Country populations'!AN63)</f>
        <v>101570</v>
      </c>
      <c r="T62" s="40">
        <f>IF([2]Setup!$B$20=[2]Setup!$U$19,'[2]Country populations'!AD63,'[2]Country populations'!AO63)</f>
        <v>93638</v>
      </c>
      <c r="U62" s="40">
        <f>IF([2]Setup!$B$20=[2]Setup!$U$19,'[2]Country populations'!AE63,'[2]Country populations'!AP63)</f>
        <v>86262</v>
      </c>
      <c r="V62" s="40">
        <f>IF([2]Setup!$B$20=[2]Setup!$U$19,'[2]Country populations'!AF63,'[2]Country populations'!AQ63)</f>
        <v>79205</v>
      </c>
      <c r="W62" s="40">
        <f>IF([2]Setup!$B$20=[2]Setup!$U$19,'[2]Country populations'!AG63,'[2]Country populations'!AR63)</f>
        <v>72357</v>
      </c>
      <c r="X62" s="40">
        <f>IF([2]Setup!$B$20=[2]Setup!$U$19,'[2]Country populations'!AH63,'[2]Country populations'!AS63)</f>
        <v>65678</v>
      </c>
      <c r="Y62" s="40" t="str">
        <f t="shared" si="3"/>
        <v>Ethiopia</v>
      </c>
      <c r="Z62" s="40">
        <f>IF([2]Setup!$B$21=[2]Setup!$V$19,'[2]Country populations'!AT63,'[2]Country populations'!BE63)</f>
        <v>35628</v>
      </c>
      <c r="AA62" s="40">
        <f>IF([2]Setup!$B$21=[2]Setup!$V$19,'[2]Country populations'!AU63,'[2]Country populations'!BF63)</f>
        <v>33505</v>
      </c>
      <c r="AB62" s="40">
        <f>IF([2]Setup!$B$21=[2]Setup!$V$19,'[2]Country populations'!AV63,'[2]Country populations'!BG63)</f>
        <v>31633</v>
      </c>
      <c r="AC62" s="40">
        <f>IF([2]Setup!$B$21=[2]Setup!$V$19,'[2]Country populations'!AW63,'[2]Country populations'!BH63)</f>
        <v>29990</v>
      </c>
      <c r="AD62" s="40">
        <f>IF([2]Setup!$B$21=[2]Setup!$V$19,'[2]Country populations'!AX63,'[2]Country populations'!BI63)</f>
        <v>28450</v>
      </c>
      <c r="AE62" s="40">
        <f>IF([2]Setup!$B$21=[2]Setup!$V$19,'[2]Country populations'!AY63,'[2]Country populations'!BJ63)</f>
        <v>26954</v>
      </c>
      <c r="AF62" s="40">
        <f>IF([2]Setup!$B$21=[2]Setup!$V$19,'[2]Country populations'!AZ63,'[2]Country populations'!BK63)</f>
        <v>25533</v>
      </c>
      <c r="AG62" s="40">
        <f>IF([2]Setup!$B$21=[2]Setup!$V$19,'[2]Country populations'!BA63,'[2]Country populations'!BL63)</f>
        <v>24188</v>
      </c>
      <c r="AH62" s="40">
        <f>IF([2]Setup!$B$21=[2]Setup!$V$19,'[2]Country populations'!BB63,'[2]Country populations'!BM63)</f>
        <v>22919</v>
      </c>
      <c r="AI62" s="40">
        <f>IF([2]Setup!$B$21=[2]Setup!$V$19,'[2]Country populations'!BC63,'[2]Country populations'!BN63)</f>
        <v>21706</v>
      </c>
      <c r="AJ62" s="40">
        <f>IF([2]Setup!$B$21=[2]Setup!$V$19,'[2]Country populations'!BD63,'[2]Country populations'!BO63)</f>
        <v>20553</v>
      </c>
    </row>
    <row r="63" spans="1:36" x14ac:dyDescent="0.25">
      <c r="A63" t="str">
        <f>'[2]Country populations'!A64</f>
        <v>Fiji</v>
      </c>
      <c r="B63" s="40">
        <f>IF([2]Setup!$B$19=[2]Setup!$T$19,'[2]Country populations'!B64,'[2]Country populations'!M64)</f>
        <v>703</v>
      </c>
      <c r="C63" s="40">
        <f>IF([2]Setup!$B$19=[2]Setup!$T$19,'[2]Country populations'!C64,'[2]Country populations'!N64)</f>
        <v>736</v>
      </c>
      <c r="D63" s="40">
        <f>IF([2]Setup!$B$19=[2]Setup!$T$19,'[2]Country populations'!D64,'[2]Country populations'!O64)</f>
        <v>768</v>
      </c>
      <c r="E63" s="40">
        <f>IF([2]Setup!$B$19=[2]Setup!$T$19,'[2]Country populations'!E64,'[2]Country populations'!P64)</f>
        <v>800</v>
      </c>
      <c r="F63" s="40">
        <f>IF([2]Setup!$B$19=[2]Setup!$T$19,'[2]Country populations'!F64,'[2]Country populations'!Q64)</f>
        <v>830</v>
      </c>
      <c r="G63" s="40">
        <f>IF([2]Setup!$B$19=[2]Setup!$T$19,'[2]Country populations'!G64,'[2]Country populations'!R64)</f>
        <v>861</v>
      </c>
      <c r="H63" s="40">
        <f>IF([2]Setup!$B$19=[2]Setup!$T$19,'[2]Country populations'!H64,'[2]Country populations'!S64)</f>
        <v>891</v>
      </c>
      <c r="I63" s="40">
        <f>IF([2]Setup!$B$19=[2]Setup!$T$19,'[2]Country populations'!I64,'[2]Country populations'!T64)</f>
        <v>922</v>
      </c>
      <c r="J63" s="40">
        <f>IF([2]Setup!$B$19=[2]Setup!$T$19,'[2]Country populations'!J64,'[2]Country populations'!U64)</f>
        <v>952</v>
      </c>
      <c r="K63" s="40">
        <f>IF([2]Setup!$B$19=[2]Setup!$T$19,'[2]Country populations'!K64,'[2]Country populations'!V64)</f>
        <v>982</v>
      </c>
      <c r="L63" s="40">
        <f>IF([2]Setup!$B$19=[2]Setup!$T$19,'[2]Country populations'!L64,'[2]Country populations'!W64)</f>
        <v>1011</v>
      </c>
      <c r="M63" s="40" t="str">
        <f t="shared" si="2"/>
        <v>Fiji</v>
      </c>
      <c r="N63" s="40">
        <f>IF([2]Setup!$B$20=[2]Setup!$U$19,'[2]Country populations'!X64,'[2]Country populations'!AI64)</f>
        <v>31</v>
      </c>
      <c r="O63" s="40">
        <f>IF([2]Setup!$B$20=[2]Setup!$U$19,'[2]Country populations'!Y64,'[2]Country populations'!AJ64)</f>
        <v>33</v>
      </c>
      <c r="P63" s="40">
        <f>IF([2]Setup!$B$20=[2]Setup!$U$19,'[2]Country populations'!Z64,'[2]Country populations'!AK64)</f>
        <v>36</v>
      </c>
      <c r="Q63" s="40">
        <f>IF([2]Setup!$B$20=[2]Setup!$U$19,'[2]Country populations'!AA64,'[2]Country populations'!AL64)</f>
        <v>38</v>
      </c>
      <c r="R63" s="40">
        <f>IF([2]Setup!$B$20=[2]Setup!$U$19,'[2]Country populations'!AB64,'[2]Country populations'!AM64)</f>
        <v>40</v>
      </c>
      <c r="S63" s="40">
        <f>IF([2]Setup!$B$20=[2]Setup!$U$19,'[2]Country populations'!AC64,'[2]Country populations'!AN64)</f>
        <v>42</v>
      </c>
      <c r="T63" s="40">
        <f>IF([2]Setup!$B$20=[2]Setup!$U$19,'[2]Country populations'!AD64,'[2]Country populations'!AO64)</f>
        <v>44</v>
      </c>
      <c r="U63" s="40">
        <f>IF([2]Setup!$B$20=[2]Setup!$U$19,'[2]Country populations'!AE64,'[2]Country populations'!AP64)</f>
        <v>45</v>
      </c>
      <c r="V63" s="40">
        <f>IF([2]Setup!$B$20=[2]Setup!$U$19,'[2]Country populations'!AF64,'[2]Country populations'!AQ64)</f>
        <v>46</v>
      </c>
      <c r="W63" s="40">
        <f>IF([2]Setup!$B$20=[2]Setup!$U$19,'[2]Country populations'!AG64,'[2]Country populations'!AR64)</f>
        <v>46</v>
      </c>
      <c r="X63" s="40">
        <f>IF([2]Setup!$B$20=[2]Setup!$U$19,'[2]Country populations'!AH64,'[2]Country populations'!AS64)</f>
        <v>47</v>
      </c>
      <c r="Y63" s="40" t="str">
        <f t="shared" si="3"/>
        <v>Fiji</v>
      </c>
      <c r="Z63" s="40">
        <f>IF([2]Setup!$B$21=[2]Setup!$V$19,'[2]Country populations'!AT64,'[2]Country populations'!BE64)</f>
        <v>16</v>
      </c>
      <c r="AA63" s="40">
        <f>IF([2]Setup!$B$21=[2]Setup!$V$19,'[2]Country populations'!AU64,'[2]Country populations'!BF64)</f>
        <v>17</v>
      </c>
      <c r="AB63" s="40">
        <f>IF([2]Setup!$B$21=[2]Setup!$V$19,'[2]Country populations'!AV64,'[2]Country populations'!BG64)</f>
        <v>17</v>
      </c>
      <c r="AC63" s="40">
        <f>IF([2]Setup!$B$21=[2]Setup!$V$19,'[2]Country populations'!AW64,'[2]Country populations'!BH64)</f>
        <v>17</v>
      </c>
      <c r="AD63" s="40">
        <f>IF([2]Setup!$B$21=[2]Setup!$V$19,'[2]Country populations'!AX64,'[2]Country populations'!BI64)</f>
        <v>17</v>
      </c>
      <c r="AE63" s="40">
        <f>IF([2]Setup!$B$21=[2]Setup!$V$19,'[2]Country populations'!AY64,'[2]Country populations'!BJ64)</f>
        <v>17</v>
      </c>
      <c r="AF63" s="40">
        <f>IF([2]Setup!$B$21=[2]Setup!$V$19,'[2]Country populations'!AZ64,'[2]Country populations'!BK64)</f>
        <v>17</v>
      </c>
      <c r="AG63" s="40">
        <f>IF([2]Setup!$B$21=[2]Setup!$V$19,'[2]Country populations'!BA64,'[2]Country populations'!BL64)</f>
        <v>17</v>
      </c>
      <c r="AH63" s="40">
        <f>IF([2]Setup!$B$21=[2]Setup!$V$19,'[2]Country populations'!BB64,'[2]Country populations'!BM64)</f>
        <v>17</v>
      </c>
      <c r="AI63" s="40">
        <f>IF([2]Setup!$B$21=[2]Setup!$V$19,'[2]Country populations'!BC64,'[2]Country populations'!BN64)</f>
        <v>17</v>
      </c>
      <c r="AJ63" s="40">
        <f>IF([2]Setup!$B$21=[2]Setup!$V$19,'[2]Country populations'!BD64,'[2]Country populations'!BO64)</f>
        <v>17</v>
      </c>
    </row>
    <row r="64" spans="1:36" x14ac:dyDescent="0.25">
      <c r="A64" t="str">
        <f>'[2]Country populations'!A65</f>
        <v>Finland</v>
      </c>
      <c r="B64" s="40">
        <f>IF([2]Setup!$B$19=[2]Setup!$T$19,'[2]Country populations'!B65,'[2]Country populations'!M65)</f>
        <v>4379</v>
      </c>
      <c r="C64" s="40">
        <f>IF([2]Setup!$B$19=[2]Setup!$T$19,'[2]Country populations'!C65,'[2]Country populations'!N65)</f>
        <v>4564</v>
      </c>
      <c r="D64" s="40">
        <f>IF([2]Setup!$B$19=[2]Setup!$T$19,'[2]Country populations'!D65,'[2]Country populations'!O65)</f>
        <v>4747</v>
      </c>
      <c r="E64" s="40">
        <f>IF([2]Setup!$B$19=[2]Setup!$T$19,'[2]Country populations'!E65,'[2]Country populations'!P65)</f>
        <v>4927</v>
      </c>
      <c r="F64" s="40">
        <f>IF([2]Setup!$B$19=[2]Setup!$T$19,'[2]Country populations'!F65,'[2]Country populations'!Q65)</f>
        <v>5103</v>
      </c>
      <c r="G64" s="40">
        <f>IF([2]Setup!$B$19=[2]Setup!$T$19,'[2]Country populations'!G65,'[2]Country populations'!R65)</f>
        <v>5276</v>
      </c>
      <c r="H64" s="40">
        <f>IF([2]Setup!$B$19=[2]Setup!$T$19,'[2]Country populations'!H65,'[2]Country populations'!S65)</f>
        <v>5446</v>
      </c>
      <c r="I64" s="40">
        <f>IF([2]Setup!$B$19=[2]Setup!$T$19,'[2]Country populations'!I65,'[2]Country populations'!T65)</f>
        <v>5614</v>
      </c>
      <c r="J64" s="40">
        <f>IF([2]Setup!$B$19=[2]Setup!$T$19,'[2]Country populations'!J65,'[2]Country populations'!U65)</f>
        <v>5778</v>
      </c>
      <c r="K64" s="40">
        <f>IF([2]Setup!$B$19=[2]Setup!$T$19,'[2]Country populations'!K65,'[2]Country populations'!V65)</f>
        <v>5940</v>
      </c>
      <c r="L64" s="40">
        <f>IF([2]Setup!$B$19=[2]Setup!$T$19,'[2]Country populations'!L65,'[2]Country populations'!W65)</f>
        <v>6099</v>
      </c>
      <c r="M64" s="40" t="str">
        <f t="shared" si="2"/>
        <v>Finland</v>
      </c>
      <c r="N64" s="40">
        <f>IF([2]Setup!$B$20=[2]Setup!$U$19,'[2]Country populations'!X65,'[2]Country populations'!AI65)</f>
        <v>15</v>
      </c>
      <c r="O64" s="40">
        <f>IF([2]Setup!$B$20=[2]Setup!$U$19,'[2]Country populations'!Y65,'[2]Country populations'!AJ65)</f>
        <v>18</v>
      </c>
      <c r="P64" s="40">
        <f>IF([2]Setup!$B$20=[2]Setup!$U$19,'[2]Country populations'!Z65,'[2]Country populations'!AK65)</f>
        <v>21</v>
      </c>
      <c r="Q64" s="40">
        <f>IF([2]Setup!$B$20=[2]Setup!$U$19,'[2]Country populations'!AA65,'[2]Country populations'!AL65)</f>
        <v>24</v>
      </c>
      <c r="R64" s="40">
        <f>IF([2]Setup!$B$20=[2]Setup!$U$19,'[2]Country populations'!AB65,'[2]Country populations'!AM65)</f>
        <v>25</v>
      </c>
      <c r="S64" s="40">
        <f>IF([2]Setup!$B$20=[2]Setup!$U$19,'[2]Country populations'!AC65,'[2]Country populations'!AN65)</f>
        <v>27</v>
      </c>
      <c r="T64" s="40">
        <f>IF([2]Setup!$B$20=[2]Setup!$U$19,'[2]Country populations'!AD65,'[2]Country populations'!AO65)</f>
        <v>31</v>
      </c>
      <c r="U64" s="40">
        <f>IF([2]Setup!$B$20=[2]Setup!$U$19,'[2]Country populations'!AE65,'[2]Country populations'!AP65)</f>
        <v>34</v>
      </c>
      <c r="V64" s="40">
        <f>IF([2]Setup!$B$20=[2]Setup!$U$19,'[2]Country populations'!AF65,'[2]Country populations'!AQ65)</f>
        <v>38</v>
      </c>
      <c r="W64" s="40">
        <f>IF([2]Setup!$B$20=[2]Setup!$U$19,'[2]Country populations'!AG65,'[2]Country populations'!AR65)</f>
        <v>42</v>
      </c>
      <c r="X64" s="40">
        <f>IF([2]Setup!$B$20=[2]Setup!$U$19,'[2]Country populations'!AH65,'[2]Country populations'!AS65)</f>
        <v>45</v>
      </c>
      <c r="Y64" s="40" t="str">
        <f t="shared" si="3"/>
        <v>Finland</v>
      </c>
      <c r="Z64" s="40">
        <f>IF([2]Setup!$B$21=[2]Setup!$V$19,'[2]Country populations'!AT65,'[2]Country populations'!BE65)</f>
        <v>37</v>
      </c>
      <c r="AA64" s="40">
        <f>IF([2]Setup!$B$21=[2]Setup!$V$19,'[2]Country populations'!AU65,'[2]Country populations'!BF65)</f>
        <v>38</v>
      </c>
      <c r="AB64" s="40">
        <f>IF([2]Setup!$B$21=[2]Setup!$V$19,'[2]Country populations'!AV65,'[2]Country populations'!BG65)</f>
        <v>39</v>
      </c>
      <c r="AC64" s="40">
        <f>IF([2]Setup!$B$21=[2]Setup!$V$19,'[2]Country populations'!AW65,'[2]Country populations'!BH65)</f>
        <v>39</v>
      </c>
      <c r="AD64" s="40">
        <f>IF([2]Setup!$B$21=[2]Setup!$V$19,'[2]Country populations'!AX65,'[2]Country populations'!BI65)</f>
        <v>40</v>
      </c>
      <c r="AE64" s="40">
        <f>IF([2]Setup!$B$21=[2]Setup!$V$19,'[2]Country populations'!AY65,'[2]Country populations'!BJ65)</f>
        <v>41</v>
      </c>
      <c r="AF64" s="40">
        <f>IF([2]Setup!$B$21=[2]Setup!$V$19,'[2]Country populations'!AZ65,'[2]Country populations'!BK65)</f>
        <v>41</v>
      </c>
      <c r="AG64" s="40">
        <f>IF([2]Setup!$B$21=[2]Setup!$V$19,'[2]Country populations'!BA65,'[2]Country populations'!BL65)</f>
        <v>41</v>
      </c>
      <c r="AH64" s="40">
        <f>IF([2]Setup!$B$21=[2]Setup!$V$19,'[2]Country populations'!BB65,'[2]Country populations'!BM65)</f>
        <v>42</v>
      </c>
      <c r="AI64" s="40">
        <f>IF([2]Setup!$B$21=[2]Setup!$V$19,'[2]Country populations'!BC65,'[2]Country populations'!BN65)</f>
        <v>42</v>
      </c>
      <c r="AJ64" s="40">
        <f>IF([2]Setup!$B$21=[2]Setup!$V$19,'[2]Country populations'!BD65,'[2]Country populations'!BO65)</f>
        <v>42</v>
      </c>
    </row>
    <row r="65" spans="1:36" x14ac:dyDescent="0.25">
      <c r="A65" t="str">
        <f>'[2]Country populations'!A66</f>
        <v>France</v>
      </c>
      <c r="B65" s="40">
        <f>IF([2]Setup!$B$19=[2]Setup!$T$19,'[2]Country populations'!B66,'[2]Country populations'!M66)</f>
        <v>178973</v>
      </c>
      <c r="C65" s="40">
        <f>IF([2]Setup!$B$19=[2]Setup!$T$19,'[2]Country populations'!C66,'[2]Country populations'!N66)</f>
        <v>184975</v>
      </c>
      <c r="D65" s="40">
        <f>IF([2]Setup!$B$19=[2]Setup!$T$19,'[2]Country populations'!D66,'[2]Country populations'!O66)</f>
        <v>190893</v>
      </c>
      <c r="E65" s="40">
        <f>IF([2]Setup!$B$19=[2]Setup!$T$19,'[2]Country populations'!E66,'[2]Country populations'!P66)</f>
        <v>196722</v>
      </c>
      <c r="F65" s="40">
        <f>IF([2]Setup!$B$19=[2]Setup!$T$19,'[2]Country populations'!F66,'[2]Country populations'!Q66)</f>
        <v>202456</v>
      </c>
      <c r="G65" s="40">
        <f>IF([2]Setup!$B$19=[2]Setup!$T$19,'[2]Country populations'!G66,'[2]Country populations'!R66)</f>
        <v>208085</v>
      </c>
      <c r="H65" s="40">
        <f>IF([2]Setup!$B$19=[2]Setup!$T$19,'[2]Country populations'!H66,'[2]Country populations'!S66)</f>
        <v>213624</v>
      </c>
      <c r="I65" s="40">
        <f>IF([2]Setup!$B$19=[2]Setup!$T$19,'[2]Country populations'!I66,'[2]Country populations'!T66)</f>
        <v>219073</v>
      </c>
      <c r="J65" s="40">
        <f>IF([2]Setup!$B$19=[2]Setup!$T$19,'[2]Country populations'!J66,'[2]Country populations'!U66)</f>
        <v>224434</v>
      </c>
      <c r="K65" s="40">
        <f>IF([2]Setup!$B$19=[2]Setup!$T$19,'[2]Country populations'!K66,'[2]Country populations'!V66)</f>
        <v>229709</v>
      </c>
      <c r="L65" s="40">
        <f>IF([2]Setup!$B$19=[2]Setup!$T$19,'[2]Country populations'!L66,'[2]Country populations'!W66)</f>
        <v>234896</v>
      </c>
      <c r="M65" s="40" t="str">
        <f t="shared" si="2"/>
        <v>France</v>
      </c>
      <c r="N65" s="40">
        <f>IF([2]Setup!$B$20=[2]Setup!$U$19,'[2]Country populations'!X66,'[2]Country populations'!AI66)</f>
        <v>860</v>
      </c>
      <c r="O65" s="40">
        <f>IF([2]Setup!$B$20=[2]Setup!$U$19,'[2]Country populations'!Y66,'[2]Country populations'!AJ66)</f>
        <v>908</v>
      </c>
      <c r="P65" s="40">
        <f>IF([2]Setup!$B$20=[2]Setup!$U$19,'[2]Country populations'!Z66,'[2]Country populations'!AK66)</f>
        <v>955</v>
      </c>
      <c r="Q65" s="40">
        <f>IF([2]Setup!$B$20=[2]Setup!$U$19,'[2]Country populations'!AA66,'[2]Country populations'!AL66)</f>
        <v>999</v>
      </c>
      <c r="R65" s="40">
        <f>IF([2]Setup!$B$20=[2]Setup!$U$19,'[2]Country populations'!AB66,'[2]Country populations'!AM66)</f>
        <v>1041</v>
      </c>
      <c r="S65" s="40">
        <f>IF([2]Setup!$B$20=[2]Setup!$U$19,'[2]Country populations'!AC66,'[2]Country populations'!AN66)</f>
        <v>1079</v>
      </c>
      <c r="T65" s="40">
        <f>IF([2]Setup!$B$20=[2]Setup!$U$19,'[2]Country populations'!AD66,'[2]Country populations'!AO66)</f>
        <v>1112</v>
      </c>
      <c r="U65" s="40">
        <f>IF([2]Setup!$B$20=[2]Setup!$U$19,'[2]Country populations'!AE66,'[2]Country populations'!AP66)</f>
        <v>1140</v>
      </c>
      <c r="V65" s="40">
        <f>IF([2]Setup!$B$20=[2]Setup!$U$19,'[2]Country populations'!AF66,'[2]Country populations'!AQ66)</f>
        <v>1161</v>
      </c>
      <c r="W65" s="40">
        <f>IF([2]Setup!$B$20=[2]Setup!$U$19,'[2]Country populations'!AG66,'[2]Country populations'!AR66)</f>
        <v>1172</v>
      </c>
      <c r="X65" s="40">
        <f>IF([2]Setup!$B$20=[2]Setup!$U$19,'[2]Country populations'!AH66,'[2]Country populations'!AS66)</f>
        <v>1176</v>
      </c>
      <c r="Y65" s="40" t="str">
        <f t="shared" si="3"/>
        <v>France</v>
      </c>
      <c r="Z65" s="40">
        <f>IF([2]Setup!$B$21=[2]Setup!$V$19,'[2]Country populations'!AT66,'[2]Country populations'!BE66)</f>
        <v>1722</v>
      </c>
      <c r="AA65" s="40">
        <f>IF([2]Setup!$B$21=[2]Setup!$V$19,'[2]Country populations'!AU66,'[2]Country populations'!BF66)</f>
        <v>1741</v>
      </c>
      <c r="AB65" s="40">
        <f>IF([2]Setup!$B$21=[2]Setup!$V$19,'[2]Country populations'!AV66,'[2]Country populations'!BG66)</f>
        <v>1756</v>
      </c>
      <c r="AC65" s="40">
        <f>IF([2]Setup!$B$21=[2]Setup!$V$19,'[2]Country populations'!AW66,'[2]Country populations'!BH66)</f>
        <v>1765</v>
      </c>
      <c r="AD65" s="40">
        <f>IF([2]Setup!$B$21=[2]Setup!$V$19,'[2]Country populations'!AX66,'[2]Country populations'!BI66)</f>
        <v>1770</v>
      </c>
      <c r="AE65" s="40">
        <f>IF([2]Setup!$B$21=[2]Setup!$V$19,'[2]Country populations'!AY66,'[2]Country populations'!BJ66)</f>
        <v>1770</v>
      </c>
      <c r="AF65" s="40">
        <f>IF([2]Setup!$B$21=[2]Setup!$V$19,'[2]Country populations'!AZ66,'[2]Country populations'!BK66)</f>
        <v>1768</v>
      </c>
      <c r="AG65" s="40">
        <f>IF([2]Setup!$B$21=[2]Setup!$V$19,'[2]Country populations'!BA66,'[2]Country populations'!BL66)</f>
        <v>1762</v>
      </c>
      <c r="AH65" s="40">
        <f>IF([2]Setup!$B$21=[2]Setup!$V$19,'[2]Country populations'!BB66,'[2]Country populations'!BM66)</f>
        <v>1754</v>
      </c>
      <c r="AI65" s="40">
        <f>IF([2]Setup!$B$21=[2]Setup!$V$19,'[2]Country populations'!BC66,'[2]Country populations'!BN66)</f>
        <v>1743</v>
      </c>
      <c r="AJ65" s="40">
        <f>IF([2]Setup!$B$21=[2]Setup!$V$19,'[2]Country populations'!BD66,'[2]Country populations'!BO66)</f>
        <v>1732</v>
      </c>
    </row>
    <row r="66" spans="1:36" x14ac:dyDescent="0.25">
      <c r="A66" t="str">
        <f>'[2]Country populations'!A67</f>
        <v>French Guiana</v>
      </c>
      <c r="B66" s="40">
        <f>IF([2]Setup!$B$19=[2]Setup!$T$19,'[2]Country populations'!B67,'[2]Country populations'!M67)</f>
        <v>0</v>
      </c>
      <c r="C66" s="40">
        <f>IF([2]Setup!$B$19=[2]Setup!$T$19,'[2]Country populations'!C67,'[2]Country populations'!N67)</f>
        <v>0</v>
      </c>
      <c r="D66" s="40">
        <f>IF([2]Setup!$B$19=[2]Setup!$T$19,'[2]Country populations'!D67,'[2]Country populations'!O67)</f>
        <v>0</v>
      </c>
      <c r="E66" s="40">
        <f>IF([2]Setup!$B$19=[2]Setup!$T$19,'[2]Country populations'!E67,'[2]Country populations'!P67)</f>
        <v>0</v>
      </c>
      <c r="F66" s="40">
        <f>IF([2]Setup!$B$19=[2]Setup!$T$19,'[2]Country populations'!F67,'[2]Country populations'!Q67)</f>
        <v>0</v>
      </c>
      <c r="G66" s="40">
        <f>IF([2]Setup!$B$19=[2]Setup!$T$19,'[2]Country populations'!G67,'[2]Country populations'!R67)</f>
        <v>0</v>
      </c>
      <c r="H66" s="40">
        <f>IF([2]Setup!$B$19=[2]Setup!$T$19,'[2]Country populations'!H67,'[2]Country populations'!S67)</f>
        <v>0</v>
      </c>
      <c r="I66" s="40">
        <f>IF([2]Setup!$B$19=[2]Setup!$T$19,'[2]Country populations'!I67,'[2]Country populations'!T67)</f>
        <v>0</v>
      </c>
      <c r="J66" s="40">
        <f>IF([2]Setup!$B$19=[2]Setup!$T$19,'[2]Country populations'!J67,'[2]Country populations'!U67)</f>
        <v>0</v>
      </c>
      <c r="K66" s="40">
        <f>IF([2]Setup!$B$19=[2]Setup!$T$19,'[2]Country populations'!K67,'[2]Country populations'!V67)</f>
        <v>0</v>
      </c>
      <c r="L66" s="40">
        <f>IF([2]Setup!$B$19=[2]Setup!$T$19,'[2]Country populations'!L67,'[2]Country populations'!W67)</f>
        <v>0</v>
      </c>
      <c r="M66" s="40" t="str">
        <f t="shared" si="2"/>
        <v>French Guiana</v>
      </c>
      <c r="N66" s="40">
        <f>IF([2]Setup!$B$20=[2]Setup!$U$19,'[2]Country populations'!X67,'[2]Country populations'!AI67)</f>
        <v>0</v>
      </c>
      <c r="O66" s="40">
        <f>IF([2]Setup!$B$20=[2]Setup!$U$19,'[2]Country populations'!Y67,'[2]Country populations'!AJ67)</f>
        <v>0</v>
      </c>
      <c r="P66" s="40">
        <f>IF([2]Setup!$B$20=[2]Setup!$U$19,'[2]Country populations'!Z67,'[2]Country populations'!AK67)</f>
        <v>0</v>
      </c>
      <c r="Q66" s="40">
        <f>IF([2]Setup!$B$20=[2]Setup!$U$19,'[2]Country populations'!AA67,'[2]Country populations'!AL67)</f>
        <v>0</v>
      </c>
      <c r="R66" s="40">
        <f>IF([2]Setup!$B$20=[2]Setup!$U$19,'[2]Country populations'!AB67,'[2]Country populations'!AM67)</f>
        <v>0</v>
      </c>
      <c r="S66" s="40">
        <f>IF([2]Setup!$B$20=[2]Setup!$U$19,'[2]Country populations'!AC67,'[2]Country populations'!AN67)</f>
        <v>0</v>
      </c>
      <c r="T66" s="40">
        <f>IF([2]Setup!$B$20=[2]Setup!$U$19,'[2]Country populations'!AD67,'[2]Country populations'!AO67)</f>
        <v>0</v>
      </c>
      <c r="U66" s="40">
        <f>IF([2]Setup!$B$20=[2]Setup!$U$19,'[2]Country populations'!AE67,'[2]Country populations'!AP67)</f>
        <v>0</v>
      </c>
      <c r="V66" s="40">
        <f>IF([2]Setup!$B$20=[2]Setup!$U$19,'[2]Country populations'!AF67,'[2]Country populations'!AQ67)</f>
        <v>0</v>
      </c>
      <c r="W66" s="40">
        <f>IF([2]Setup!$B$20=[2]Setup!$U$19,'[2]Country populations'!AG67,'[2]Country populations'!AR67)</f>
        <v>0</v>
      </c>
      <c r="X66" s="40">
        <f>IF([2]Setup!$B$20=[2]Setup!$U$19,'[2]Country populations'!AH67,'[2]Country populations'!AS67)</f>
        <v>0</v>
      </c>
      <c r="Y66" s="40" t="str">
        <f t="shared" si="3"/>
        <v>French Guiana</v>
      </c>
      <c r="Z66" s="40">
        <f>IF([2]Setup!$B$21=[2]Setup!$V$19,'[2]Country populations'!AT67,'[2]Country populations'!BE67)</f>
        <v>0</v>
      </c>
      <c r="AA66" s="40">
        <f>IF([2]Setup!$B$21=[2]Setup!$V$19,'[2]Country populations'!AU67,'[2]Country populations'!BF67)</f>
        <v>0</v>
      </c>
      <c r="AB66" s="40">
        <f>IF([2]Setup!$B$21=[2]Setup!$V$19,'[2]Country populations'!AV67,'[2]Country populations'!BG67)</f>
        <v>0</v>
      </c>
      <c r="AC66" s="40">
        <f>IF([2]Setup!$B$21=[2]Setup!$V$19,'[2]Country populations'!AW67,'[2]Country populations'!BH67)</f>
        <v>0</v>
      </c>
      <c r="AD66" s="40">
        <f>IF([2]Setup!$B$21=[2]Setup!$V$19,'[2]Country populations'!AX67,'[2]Country populations'!BI67)</f>
        <v>0</v>
      </c>
      <c r="AE66" s="40">
        <f>IF([2]Setup!$B$21=[2]Setup!$V$19,'[2]Country populations'!AY67,'[2]Country populations'!BJ67)</f>
        <v>0</v>
      </c>
      <c r="AF66" s="40">
        <f>IF([2]Setup!$B$21=[2]Setup!$V$19,'[2]Country populations'!AZ67,'[2]Country populations'!BK67)</f>
        <v>0</v>
      </c>
      <c r="AG66" s="40">
        <f>IF([2]Setup!$B$21=[2]Setup!$V$19,'[2]Country populations'!BA67,'[2]Country populations'!BL67)</f>
        <v>0</v>
      </c>
      <c r="AH66" s="40">
        <f>IF([2]Setup!$B$21=[2]Setup!$V$19,'[2]Country populations'!BB67,'[2]Country populations'!BM67)</f>
        <v>0</v>
      </c>
      <c r="AI66" s="40">
        <f>IF([2]Setup!$B$21=[2]Setup!$V$19,'[2]Country populations'!BC67,'[2]Country populations'!BN67)</f>
        <v>0</v>
      </c>
      <c r="AJ66" s="40">
        <f>IF([2]Setup!$B$21=[2]Setup!$V$19,'[2]Country populations'!BD67,'[2]Country populations'!BO67)</f>
        <v>0</v>
      </c>
    </row>
    <row r="67" spans="1:36" x14ac:dyDescent="0.25">
      <c r="A67" t="str">
        <f>'[2]Country populations'!A68</f>
        <v>French Polynesia</v>
      </c>
      <c r="B67" s="40">
        <f>IF([2]Setup!$B$19=[2]Setup!$T$19,'[2]Country populations'!B68,'[2]Country populations'!M68)</f>
        <v>0</v>
      </c>
      <c r="C67" s="40">
        <f>IF([2]Setup!$B$19=[2]Setup!$T$19,'[2]Country populations'!C68,'[2]Country populations'!N68)</f>
        <v>0</v>
      </c>
      <c r="D67" s="40">
        <f>IF([2]Setup!$B$19=[2]Setup!$T$19,'[2]Country populations'!D68,'[2]Country populations'!O68)</f>
        <v>0</v>
      </c>
      <c r="E67" s="40">
        <f>IF([2]Setup!$B$19=[2]Setup!$T$19,'[2]Country populations'!E68,'[2]Country populations'!P68)</f>
        <v>0</v>
      </c>
      <c r="F67" s="40">
        <f>IF([2]Setup!$B$19=[2]Setup!$T$19,'[2]Country populations'!F68,'[2]Country populations'!Q68)</f>
        <v>0</v>
      </c>
      <c r="G67" s="40">
        <f>IF([2]Setup!$B$19=[2]Setup!$T$19,'[2]Country populations'!G68,'[2]Country populations'!R68)</f>
        <v>0</v>
      </c>
      <c r="H67" s="40">
        <f>IF([2]Setup!$B$19=[2]Setup!$T$19,'[2]Country populations'!H68,'[2]Country populations'!S68)</f>
        <v>0</v>
      </c>
      <c r="I67" s="40">
        <f>IF([2]Setup!$B$19=[2]Setup!$T$19,'[2]Country populations'!I68,'[2]Country populations'!T68)</f>
        <v>0</v>
      </c>
      <c r="J67" s="40">
        <f>IF([2]Setup!$B$19=[2]Setup!$T$19,'[2]Country populations'!J68,'[2]Country populations'!U68)</f>
        <v>0</v>
      </c>
      <c r="K67" s="40">
        <f>IF([2]Setup!$B$19=[2]Setup!$T$19,'[2]Country populations'!K68,'[2]Country populations'!V68)</f>
        <v>0</v>
      </c>
      <c r="L67" s="40">
        <f>IF([2]Setup!$B$19=[2]Setup!$T$19,'[2]Country populations'!L68,'[2]Country populations'!W68)</f>
        <v>0</v>
      </c>
      <c r="M67" s="40" t="str">
        <f t="shared" si="2"/>
        <v>French Polynesia</v>
      </c>
      <c r="N67" s="40">
        <f>IF([2]Setup!$B$20=[2]Setup!$U$19,'[2]Country populations'!X68,'[2]Country populations'!AI68)</f>
        <v>0</v>
      </c>
      <c r="O67" s="40">
        <f>IF([2]Setup!$B$20=[2]Setup!$U$19,'[2]Country populations'!Y68,'[2]Country populations'!AJ68)</f>
        <v>0</v>
      </c>
      <c r="P67" s="40">
        <f>IF([2]Setup!$B$20=[2]Setup!$U$19,'[2]Country populations'!Z68,'[2]Country populations'!AK68)</f>
        <v>0</v>
      </c>
      <c r="Q67" s="40">
        <f>IF([2]Setup!$B$20=[2]Setup!$U$19,'[2]Country populations'!AA68,'[2]Country populations'!AL68)</f>
        <v>0</v>
      </c>
      <c r="R67" s="40">
        <f>IF([2]Setup!$B$20=[2]Setup!$U$19,'[2]Country populations'!AB68,'[2]Country populations'!AM68)</f>
        <v>0</v>
      </c>
      <c r="S67" s="40">
        <f>IF([2]Setup!$B$20=[2]Setup!$U$19,'[2]Country populations'!AC68,'[2]Country populations'!AN68)</f>
        <v>0</v>
      </c>
      <c r="T67" s="40">
        <f>IF([2]Setup!$B$20=[2]Setup!$U$19,'[2]Country populations'!AD68,'[2]Country populations'!AO68)</f>
        <v>0</v>
      </c>
      <c r="U67" s="40">
        <f>IF([2]Setup!$B$20=[2]Setup!$U$19,'[2]Country populations'!AE68,'[2]Country populations'!AP68)</f>
        <v>0</v>
      </c>
      <c r="V67" s="40">
        <f>IF([2]Setup!$B$20=[2]Setup!$U$19,'[2]Country populations'!AF68,'[2]Country populations'!AQ68)</f>
        <v>0</v>
      </c>
      <c r="W67" s="40">
        <f>IF([2]Setup!$B$20=[2]Setup!$U$19,'[2]Country populations'!AG68,'[2]Country populations'!AR68)</f>
        <v>0</v>
      </c>
      <c r="X67" s="40">
        <f>IF([2]Setup!$B$20=[2]Setup!$U$19,'[2]Country populations'!AH68,'[2]Country populations'!AS68)</f>
        <v>0</v>
      </c>
      <c r="Y67" s="40" t="str">
        <f t="shared" si="3"/>
        <v>French Polynesia</v>
      </c>
      <c r="Z67" s="40">
        <f>IF([2]Setup!$B$21=[2]Setup!$V$19,'[2]Country populations'!AT68,'[2]Country populations'!BE68)</f>
        <v>0</v>
      </c>
      <c r="AA67" s="40">
        <f>IF([2]Setup!$B$21=[2]Setup!$V$19,'[2]Country populations'!AU68,'[2]Country populations'!BF68)</f>
        <v>0</v>
      </c>
      <c r="AB67" s="40">
        <f>IF([2]Setup!$B$21=[2]Setup!$V$19,'[2]Country populations'!AV68,'[2]Country populations'!BG68)</f>
        <v>0</v>
      </c>
      <c r="AC67" s="40">
        <f>IF([2]Setup!$B$21=[2]Setup!$V$19,'[2]Country populations'!AW68,'[2]Country populations'!BH68)</f>
        <v>0</v>
      </c>
      <c r="AD67" s="40">
        <f>IF([2]Setup!$B$21=[2]Setup!$V$19,'[2]Country populations'!AX68,'[2]Country populations'!BI68)</f>
        <v>0</v>
      </c>
      <c r="AE67" s="40">
        <f>IF([2]Setup!$B$21=[2]Setup!$V$19,'[2]Country populations'!AY68,'[2]Country populations'!BJ68)</f>
        <v>0</v>
      </c>
      <c r="AF67" s="40">
        <f>IF([2]Setup!$B$21=[2]Setup!$V$19,'[2]Country populations'!AZ68,'[2]Country populations'!BK68)</f>
        <v>0</v>
      </c>
      <c r="AG67" s="40">
        <f>IF([2]Setup!$B$21=[2]Setup!$V$19,'[2]Country populations'!BA68,'[2]Country populations'!BL68)</f>
        <v>0</v>
      </c>
      <c r="AH67" s="40">
        <f>IF([2]Setup!$B$21=[2]Setup!$V$19,'[2]Country populations'!BB68,'[2]Country populations'!BM68)</f>
        <v>0</v>
      </c>
      <c r="AI67" s="40">
        <f>IF([2]Setup!$B$21=[2]Setup!$V$19,'[2]Country populations'!BC68,'[2]Country populations'!BN68)</f>
        <v>0</v>
      </c>
      <c r="AJ67" s="40">
        <f>IF([2]Setup!$B$21=[2]Setup!$V$19,'[2]Country populations'!BD68,'[2]Country populations'!BO68)</f>
        <v>0</v>
      </c>
    </row>
    <row r="68" spans="1:36" x14ac:dyDescent="0.25">
      <c r="A68" t="str">
        <f>'[2]Country populations'!A69</f>
        <v>Gabon</v>
      </c>
      <c r="B68" s="40">
        <f>IF([2]Setup!$B$19=[2]Setup!$T$19,'[2]Country populations'!B69,'[2]Country populations'!M69)</f>
        <v>40759</v>
      </c>
      <c r="C68" s="40">
        <f>IF([2]Setup!$B$19=[2]Setup!$T$19,'[2]Country populations'!C69,'[2]Country populations'!N69)</f>
        <v>40001</v>
      </c>
      <c r="D68" s="40">
        <f>IF([2]Setup!$B$19=[2]Setup!$T$19,'[2]Country populations'!D69,'[2]Country populations'!O69)</f>
        <v>39074</v>
      </c>
      <c r="E68" s="40">
        <f>IF([2]Setup!$B$19=[2]Setup!$T$19,'[2]Country populations'!E69,'[2]Country populations'!P69)</f>
        <v>38080</v>
      </c>
      <c r="F68" s="40">
        <f>IF([2]Setup!$B$19=[2]Setup!$T$19,'[2]Country populations'!F69,'[2]Country populations'!Q69)</f>
        <v>37063</v>
      </c>
      <c r="G68" s="40">
        <f>IF([2]Setup!$B$19=[2]Setup!$T$19,'[2]Country populations'!G69,'[2]Country populations'!R69)</f>
        <v>36059</v>
      </c>
      <c r="H68" s="40">
        <f>IF([2]Setup!$B$19=[2]Setup!$T$19,'[2]Country populations'!H69,'[2]Country populations'!S69)</f>
        <v>35153</v>
      </c>
      <c r="I68" s="40">
        <f>IF([2]Setup!$B$19=[2]Setup!$T$19,'[2]Country populations'!I69,'[2]Country populations'!T69)</f>
        <v>34346</v>
      </c>
      <c r="J68" s="40">
        <f>IF([2]Setup!$B$19=[2]Setup!$T$19,'[2]Country populations'!J69,'[2]Country populations'!U69)</f>
        <v>33638</v>
      </c>
      <c r="K68" s="40">
        <f>IF([2]Setup!$B$19=[2]Setup!$T$19,'[2]Country populations'!K69,'[2]Country populations'!V69)</f>
        <v>33025</v>
      </c>
      <c r="L68" s="40">
        <f>IF([2]Setup!$B$19=[2]Setup!$T$19,'[2]Country populations'!L69,'[2]Country populations'!W69)</f>
        <v>32502</v>
      </c>
      <c r="M68" s="40" t="str">
        <f t="shared" ref="M68:M131" si="4">A68</f>
        <v>Gabon</v>
      </c>
      <c r="N68" s="40">
        <f>IF([2]Setup!$B$20=[2]Setup!$U$19,'[2]Country populations'!X69,'[2]Country populations'!AI69)</f>
        <v>3809</v>
      </c>
      <c r="O68" s="40">
        <f>IF([2]Setup!$B$20=[2]Setup!$U$19,'[2]Country populations'!Y69,'[2]Country populations'!AJ69)</f>
        <v>3588</v>
      </c>
      <c r="P68" s="40">
        <f>IF([2]Setup!$B$20=[2]Setup!$U$19,'[2]Country populations'!Z69,'[2]Country populations'!AK69)</f>
        <v>3365</v>
      </c>
      <c r="Q68" s="40">
        <f>IF([2]Setup!$B$20=[2]Setup!$U$19,'[2]Country populations'!AA69,'[2]Country populations'!AL69)</f>
        <v>3146</v>
      </c>
      <c r="R68" s="40">
        <f>IF([2]Setup!$B$20=[2]Setup!$U$19,'[2]Country populations'!AB69,'[2]Country populations'!AM69)</f>
        <v>2919</v>
      </c>
      <c r="S68" s="40">
        <f>IF([2]Setup!$B$20=[2]Setup!$U$19,'[2]Country populations'!AC69,'[2]Country populations'!AN69)</f>
        <v>2668</v>
      </c>
      <c r="T68" s="40">
        <f>IF([2]Setup!$B$20=[2]Setup!$U$19,'[2]Country populations'!AD69,'[2]Country populations'!AO69)</f>
        <v>2400</v>
      </c>
      <c r="U68" s="40">
        <f>IF([2]Setup!$B$20=[2]Setup!$U$19,'[2]Country populations'!AE69,'[2]Country populations'!AP69)</f>
        <v>2127</v>
      </c>
      <c r="V68" s="40">
        <f>IF([2]Setup!$B$20=[2]Setup!$U$19,'[2]Country populations'!AF69,'[2]Country populations'!AQ69)</f>
        <v>1862</v>
      </c>
      <c r="W68" s="40">
        <f>IF([2]Setup!$B$20=[2]Setup!$U$19,'[2]Country populations'!AG69,'[2]Country populations'!AR69)</f>
        <v>1617</v>
      </c>
      <c r="X68" s="40">
        <f>IF([2]Setup!$B$20=[2]Setup!$U$19,'[2]Country populations'!AH69,'[2]Country populations'!AS69)</f>
        <v>1389</v>
      </c>
      <c r="Y68" s="40" t="str">
        <f t="shared" ref="Y68:Y131" si="5">M68</f>
        <v>Gabon</v>
      </c>
      <c r="Z68" s="40">
        <f>IF([2]Setup!$B$21=[2]Setup!$V$19,'[2]Country populations'!AT69,'[2]Country populations'!BE69)</f>
        <v>1893</v>
      </c>
      <c r="AA68" s="40">
        <f>IF([2]Setup!$B$21=[2]Setup!$V$19,'[2]Country populations'!AU69,'[2]Country populations'!BF69)</f>
        <v>1748</v>
      </c>
      <c r="AB68" s="40">
        <f>IF([2]Setup!$B$21=[2]Setup!$V$19,'[2]Country populations'!AV69,'[2]Country populations'!BG69)</f>
        <v>1607</v>
      </c>
      <c r="AC68" s="40">
        <f>IF([2]Setup!$B$21=[2]Setup!$V$19,'[2]Country populations'!AW69,'[2]Country populations'!BH69)</f>
        <v>1475</v>
      </c>
      <c r="AD68" s="40">
        <f>IF([2]Setup!$B$21=[2]Setup!$V$19,'[2]Country populations'!AX69,'[2]Country populations'!BI69)</f>
        <v>1354</v>
      </c>
      <c r="AE68" s="40">
        <f>IF([2]Setup!$B$21=[2]Setup!$V$19,'[2]Country populations'!AY69,'[2]Country populations'!BJ69)</f>
        <v>1242</v>
      </c>
      <c r="AF68" s="40">
        <f>IF([2]Setup!$B$21=[2]Setup!$V$19,'[2]Country populations'!AZ69,'[2]Country populations'!BK69)</f>
        <v>1145</v>
      </c>
      <c r="AG68" s="40">
        <f>IF([2]Setup!$B$21=[2]Setup!$V$19,'[2]Country populations'!BA69,'[2]Country populations'!BL69)</f>
        <v>1063</v>
      </c>
      <c r="AH68" s="40">
        <f>IF([2]Setup!$B$21=[2]Setup!$V$19,'[2]Country populations'!BB69,'[2]Country populations'!BM69)</f>
        <v>995</v>
      </c>
      <c r="AI68" s="40">
        <f>IF([2]Setup!$B$21=[2]Setup!$V$19,'[2]Country populations'!BC69,'[2]Country populations'!BN69)</f>
        <v>940</v>
      </c>
      <c r="AJ68" s="40">
        <f>IF([2]Setup!$B$21=[2]Setup!$V$19,'[2]Country populations'!BD69,'[2]Country populations'!BO69)</f>
        <v>896</v>
      </c>
    </row>
    <row r="69" spans="1:36" x14ac:dyDescent="0.25">
      <c r="A69" t="str">
        <f>'[2]Country populations'!A70</f>
        <v>Gambia</v>
      </c>
      <c r="B69" s="40">
        <f>IF([2]Setup!$B$19=[2]Setup!$T$19,'[2]Country populations'!B70,'[2]Country populations'!M70)</f>
        <v>12230</v>
      </c>
      <c r="C69" s="40">
        <f>IF([2]Setup!$B$19=[2]Setup!$T$19,'[2]Country populations'!C70,'[2]Country populations'!N70)</f>
        <v>12478</v>
      </c>
      <c r="D69" s="40">
        <f>IF([2]Setup!$B$19=[2]Setup!$T$19,'[2]Country populations'!D70,'[2]Country populations'!O70)</f>
        <v>12779</v>
      </c>
      <c r="E69" s="40">
        <f>IF([2]Setup!$B$19=[2]Setup!$T$19,'[2]Country populations'!E70,'[2]Country populations'!P70)</f>
        <v>13097</v>
      </c>
      <c r="F69" s="40">
        <f>IF([2]Setup!$B$19=[2]Setup!$T$19,'[2]Country populations'!F70,'[2]Country populations'!Q70)</f>
        <v>13425</v>
      </c>
      <c r="G69" s="40">
        <f>IF([2]Setup!$B$19=[2]Setup!$T$19,'[2]Country populations'!G70,'[2]Country populations'!R70)</f>
        <v>13749</v>
      </c>
      <c r="H69" s="40">
        <f>IF([2]Setup!$B$19=[2]Setup!$T$19,'[2]Country populations'!H70,'[2]Country populations'!S70)</f>
        <v>14103</v>
      </c>
      <c r="I69" s="40">
        <f>IF([2]Setup!$B$19=[2]Setup!$T$19,'[2]Country populations'!I70,'[2]Country populations'!T70)</f>
        <v>14483</v>
      </c>
      <c r="J69" s="40">
        <f>IF([2]Setup!$B$19=[2]Setup!$T$19,'[2]Country populations'!J70,'[2]Country populations'!U70)</f>
        <v>14882</v>
      </c>
      <c r="K69" s="40">
        <f>IF([2]Setup!$B$19=[2]Setup!$T$19,'[2]Country populations'!K70,'[2]Country populations'!V70)</f>
        <v>15289</v>
      </c>
      <c r="L69" s="40">
        <f>IF([2]Setup!$B$19=[2]Setup!$T$19,'[2]Country populations'!L70,'[2]Country populations'!W70)</f>
        <v>15707</v>
      </c>
      <c r="M69" s="40" t="str">
        <f t="shared" si="4"/>
        <v>Gambia</v>
      </c>
      <c r="N69" s="40">
        <f>IF([2]Setup!$B$20=[2]Setup!$U$19,'[2]Country populations'!X70,'[2]Country populations'!AI70)</f>
        <v>2527</v>
      </c>
      <c r="O69" s="40">
        <f>IF([2]Setup!$B$20=[2]Setup!$U$19,'[2]Country populations'!Y70,'[2]Country populations'!AJ70)</f>
        <v>2616</v>
      </c>
      <c r="P69" s="40">
        <f>IF([2]Setup!$B$20=[2]Setup!$U$19,'[2]Country populations'!Z70,'[2]Country populations'!AK70)</f>
        <v>2682</v>
      </c>
      <c r="Q69" s="40">
        <f>IF([2]Setup!$B$20=[2]Setup!$U$19,'[2]Country populations'!AA70,'[2]Country populations'!AL70)</f>
        <v>2741</v>
      </c>
      <c r="R69" s="40">
        <f>IF([2]Setup!$B$20=[2]Setup!$U$19,'[2]Country populations'!AB70,'[2]Country populations'!AM70)</f>
        <v>2797</v>
      </c>
      <c r="S69" s="40">
        <f>IF([2]Setup!$B$20=[2]Setup!$U$19,'[2]Country populations'!AC70,'[2]Country populations'!AN70)</f>
        <v>2860</v>
      </c>
      <c r="T69" s="40">
        <f>IF([2]Setup!$B$20=[2]Setup!$U$19,'[2]Country populations'!AD70,'[2]Country populations'!AO70)</f>
        <v>2953</v>
      </c>
      <c r="U69" s="40">
        <f>IF([2]Setup!$B$20=[2]Setup!$U$19,'[2]Country populations'!AE70,'[2]Country populations'!AP70)</f>
        <v>3035</v>
      </c>
      <c r="V69" s="40">
        <f>IF([2]Setup!$B$20=[2]Setup!$U$19,'[2]Country populations'!AF70,'[2]Country populations'!AQ70)</f>
        <v>3077</v>
      </c>
      <c r="W69" s="40">
        <f>IF([2]Setup!$B$20=[2]Setup!$U$19,'[2]Country populations'!AG70,'[2]Country populations'!AR70)</f>
        <v>3117</v>
      </c>
      <c r="X69" s="40">
        <f>IF([2]Setup!$B$20=[2]Setup!$U$19,'[2]Country populations'!AH70,'[2]Country populations'!AS70)</f>
        <v>3148</v>
      </c>
      <c r="Y69" s="40" t="str">
        <f t="shared" si="5"/>
        <v>Gambia</v>
      </c>
      <c r="Z69" s="40">
        <f>IF([2]Setup!$B$21=[2]Setup!$V$19,'[2]Country populations'!AT70,'[2]Country populations'!BE70)</f>
        <v>1053</v>
      </c>
      <c r="AA69" s="40">
        <f>IF([2]Setup!$B$21=[2]Setup!$V$19,'[2]Country populations'!AU70,'[2]Country populations'!BF70)</f>
        <v>1051</v>
      </c>
      <c r="AB69" s="40">
        <f>IF([2]Setup!$B$21=[2]Setup!$V$19,'[2]Country populations'!AV70,'[2]Country populations'!BG70)</f>
        <v>1054</v>
      </c>
      <c r="AC69" s="40">
        <f>IF([2]Setup!$B$21=[2]Setup!$V$19,'[2]Country populations'!AW70,'[2]Country populations'!BH70)</f>
        <v>1052</v>
      </c>
      <c r="AD69" s="40">
        <f>IF([2]Setup!$B$21=[2]Setup!$V$19,'[2]Country populations'!AX70,'[2]Country populations'!BI70)</f>
        <v>1036</v>
      </c>
      <c r="AE69" s="40">
        <f>IF([2]Setup!$B$21=[2]Setup!$V$19,'[2]Country populations'!AY70,'[2]Country populations'!BJ70)</f>
        <v>1014</v>
      </c>
      <c r="AF69" s="40">
        <f>IF([2]Setup!$B$21=[2]Setup!$V$19,'[2]Country populations'!AZ70,'[2]Country populations'!BK70)</f>
        <v>990</v>
      </c>
      <c r="AG69" s="40">
        <f>IF([2]Setup!$B$21=[2]Setup!$V$19,'[2]Country populations'!BA70,'[2]Country populations'!BL70)</f>
        <v>967</v>
      </c>
      <c r="AH69" s="40">
        <f>IF([2]Setup!$B$21=[2]Setup!$V$19,'[2]Country populations'!BB70,'[2]Country populations'!BM70)</f>
        <v>944</v>
      </c>
      <c r="AI69" s="40">
        <f>IF([2]Setup!$B$21=[2]Setup!$V$19,'[2]Country populations'!BC70,'[2]Country populations'!BN70)</f>
        <v>922</v>
      </c>
      <c r="AJ69" s="40">
        <f>IF([2]Setup!$B$21=[2]Setup!$V$19,'[2]Country populations'!BD70,'[2]Country populations'!BO70)</f>
        <v>903</v>
      </c>
    </row>
    <row r="70" spans="1:36" x14ac:dyDescent="0.25">
      <c r="A70" t="str">
        <f>'[2]Country populations'!A71</f>
        <v>Georgia</v>
      </c>
      <c r="B70" s="40">
        <f>IF([2]Setup!$B$19=[2]Setup!$T$19,'[2]Country populations'!B71,'[2]Country populations'!M71)</f>
        <v>8552</v>
      </c>
      <c r="C70" s="40">
        <f>IF([2]Setup!$B$19=[2]Setup!$T$19,'[2]Country populations'!C71,'[2]Country populations'!N71)</f>
        <v>9045</v>
      </c>
      <c r="D70" s="40">
        <f>IF([2]Setup!$B$19=[2]Setup!$T$19,'[2]Country populations'!D71,'[2]Country populations'!O71)</f>
        <v>9498</v>
      </c>
      <c r="E70" s="40">
        <f>IF([2]Setup!$B$19=[2]Setup!$T$19,'[2]Country populations'!E71,'[2]Country populations'!P71)</f>
        <v>9914</v>
      </c>
      <c r="F70" s="40">
        <f>IF([2]Setup!$B$19=[2]Setup!$T$19,'[2]Country populations'!F71,'[2]Country populations'!Q71)</f>
        <v>10297</v>
      </c>
      <c r="G70" s="40">
        <f>IF([2]Setup!$B$19=[2]Setup!$T$19,'[2]Country populations'!G71,'[2]Country populations'!R71)</f>
        <v>10650</v>
      </c>
      <c r="H70" s="40">
        <f>IF([2]Setup!$B$19=[2]Setup!$T$19,'[2]Country populations'!H71,'[2]Country populations'!S71)</f>
        <v>10988</v>
      </c>
      <c r="I70" s="40">
        <f>IF([2]Setup!$B$19=[2]Setup!$T$19,'[2]Country populations'!I71,'[2]Country populations'!T71)</f>
        <v>11304</v>
      </c>
      <c r="J70" s="40">
        <f>IF([2]Setup!$B$19=[2]Setup!$T$19,'[2]Country populations'!J71,'[2]Country populations'!U71)</f>
        <v>11600</v>
      </c>
      <c r="K70" s="40">
        <f>IF([2]Setup!$B$19=[2]Setup!$T$19,'[2]Country populations'!K71,'[2]Country populations'!V71)</f>
        <v>11874</v>
      </c>
      <c r="L70" s="40">
        <f>IF([2]Setup!$B$19=[2]Setup!$T$19,'[2]Country populations'!L71,'[2]Country populations'!W71)</f>
        <v>12125</v>
      </c>
      <c r="M70" s="40" t="str">
        <f t="shared" si="4"/>
        <v>Georgia</v>
      </c>
      <c r="N70" s="40">
        <f>IF([2]Setup!$B$20=[2]Setup!$U$19,'[2]Country populations'!X71,'[2]Country populations'!AI71)</f>
        <v>70</v>
      </c>
      <c r="O70" s="40">
        <f>IF([2]Setup!$B$20=[2]Setup!$U$19,'[2]Country populations'!Y71,'[2]Country populations'!AJ71)</f>
        <v>72</v>
      </c>
      <c r="P70" s="40">
        <f>IF([2]Setup!$B$20=[2]Setup!$U$19,'[2]Country populations'!Z71,'[2]Country populations'!AK71)</f>
        <v>74</v>
      </c>
      <c r="Q70" s="40">
        <f>IF([2]Setup!$B$20=[2]Setup!$U$19,'[2]Country populations'!AA71,'[2]Country populations'!AL71)</f>
        <v>75</v>
      </c>
      <c r="R70" s="40">
        <f>IF([2]Setup!$B$20=[2]Setup!$U$19,'[2]Country populations'!AB71,'[2]Country populations'!AM71)</f>
        <v>75</v>
      </c>
      <c r="S70" s="40">
        <f>IF([2]Setup!$B$20=[2]Setup!$U$19,'[2]Country populations'!AC71,'[2]Country populations'!AN71)</f>
        <v>76</v>
      </c>
      <c r="T70" s="40">
        <f>IF([2]Setup!$B$20=[2]Setup!$U$19,'[2]Country populations'!AD71,'[2]Country populations'!AO71)</f>
        <v>75</v>
      </c>
      <c r="U70" s="40">
        <f>IF([2]Setup!$B$20=[2]Setup!$U$19,'[2]Country populations'!AE71,'[2]Country populations'!AP71)</f>
        <v>74</v>
      </c>
      <c r="V70" s="40">
        <f>IF([2]Setup!$B$20=[2]Setup!$U$19,'[2]Country populations'!AF71,'[2]Country populations'!AQ71)</f>
        <v>72</v>
      </c>
      <c r="W70" s="40">
        <f>IF([2]Setup!$B$20=[2]Setup!$U$19,'[2]Country populations'!AG71,'[2]Country populations'!AR71)</f>
        <v>69</v>
      </c>
      <c r="X70" s="40">
        <f>IF([2]Setup!$B$20=[2]Setup!$U$19,'[2]Country populations'!AH71,'[2]Country populations'!AS71)</f>
        <v>69</v>
      </c>
      <c r="Y70" s="40" t="str">
        <f t="shared" si="5"/>
        <v>Georgia</v>
      </c>
      <c r="Z70" s="40">
        <f>IF([2]Setup!$B$21=[2]Setup!$V$19,'[2]Country populations'!AT71,'[2]Country populations'!BE71)</f>
        <v>52</v>
      </c>
      <c r="AA70" s="40">
        <f>IF([2]Setup!$B$21=[2]Setup!$V$19,'[2]Country populations'!AU71,'[2]Country populations'!BF71)</f>
        <v>52</v>
      </c>
      <c r="AB70" s="40">
        <f>IF([2]Setup!$B$21=[2]Setup!$V$19,'[2]Country populations'!AV71,'[2]Country populations'!BG71)</f>
        <v>53</v>
      </c>
      <c r="AC70" s="40">
        <f>IF([2]Setup!$B$21=[2]Setup!$V$19,'[2]Country populations'!AW71,'[2]Country populations'!BH71)</f>
        <v>52</v>
      </c>
      <c r="AD70" s="40">
        <f>IF([2]Setup!$B$21=[2]Setup!$V$19,'[2]Country populations'!AX71,'[2]Country populations'!BI71)</f>
        <v>52</v>
      </c>
      <c r="AE70" s="40">
        <f>IF([2]Setup!$B$21=[2]Setup!$V$19,'[2]Country populations'!AY71,'[2]Country populations'!BJ71)</f>
        <v>52</v>
      </c>
      <c r="AF70" s="40">
        <f>IF([2]Setup!$B$21=[2]Setup!$V$19,'[2]Country populations'!AZ71,'[2]Country populations'!BK71)</f>
        <v>51</v>
      </c>
      <c r="AG70" s="40">
        <f>IF([2]Setup!$B$21=[2]Setup!$V$19,'[2]Country populations'!BA71,'[2]Country populations'!BL71)</f>
        <v>50</v>
      </c>
      <c r="AH70" s="40">
        <f>IF([2]Setup!$B$21=[2]Setup!$V$19,'[2]Country populations'!BB71,'[2]Country populations'!BM71)</f>
        <v>49</v>
      </c>
      <c r="AI70" s="40">
        <f>IF([2]Setup!$B$21=[2]Setup!$V$19,'[2]Country populations'!BC71,'[2]Country populations'!BN71)</f>
        <v>48</v>
      </c>
      <c r="AJ70" s="40">
        <f>IF([2]Setup!$B$21=[2]Setup!$V$19,'[2]Country populations'!BD71,'[2]Country populations'!BO71)</f>
        <v>47</v>
      </c>
    </row>
    <row r="71" spans="1:36" x14ac:dyDescent="0.25">
      <c r="A71" t="str">
        <f>'[2]Country populations'!A72</f>
        <v>Germany</v>
      </c>
      <c r="B71" s="40">
        <f>IF([2]Setup!$B$19=[2]Setup!$T$19,'[2]Country populations'!B72,'[2]Country populations'!M72)</f>
        <v>82734</v>
      </c>
      <c r="C71" s="40">
        <f>IF([2]Setup!$B$19=[2]Setup!$T$19,'[2]Country populations'!C72,'[2]Country populations'!N72)</f>
        <v>86226</v>
      </c>
      <c r="D71" s="40">
        <f>IF([2]Setup!$B$19=[2]Setup!$T$19,'[2]Country populations'!D72,'[2]Country populations'!O72)</f>
        <v>89600</v>
      </c>
      <c r="E71" s="40">
        <f>IF([2]Setup!$B$19=[2]Setup!$T$19,'[2]Country populations'!E72,'[2]Country populations'!P72)</f>
        <v>92853</v>
      </c>
      <c r="F71" s="40">
        <f>IF([2]Setup!$B$19=[2]Setup!$T$19,'[2]Country populations'!F72,'[2]Country populations'!Q72)</f>
        <v>95984</v>
      </c>
      <c r="G71" s="40">
        <f>IF([2]Setup!$B$19=[2]Setup!$T$19,'[2]Country populations'!G72,'[2]Country populations'!R72)</f>
        <v>98998</v>
      </c>
      <c r="H71" s="40">
        <f>IF([2]Setup!$B$19=[2]Setup!$T$19,'[2]Country populations'!H72,'[2]Country populations'!S72)</f>
        <v>101900</v>
      </c>
      <c r="I71" s="40">
        <f>IF([2]Setup!$B$19=[2]Setup!$T$19,'[2]Country populations'!I72,'[2]Country populations'!T72)</f>
        <v>104710</v>
      </c>
      <c r="J71" s="40">
        <f>IF([2]Setup!$B$19=[2]Setup!$T$19,'[2]Country populations'!J72,'[2]Country populations'!U72)</f>
        <v>107436</v>
      </c>
      <c r="K71" s="40">
        <f>IF([2]Setup!$B$19=[2]Setup!$T$19,'[2]Country populations'!K72,'[2]Country populations'!V72)</f>
        <v>110081</v>
      </c>
      <c r="L71" s="40">
        <f>IF([2]Setup!$B$19=[2]Setup!$T$19,'[2]Country populations'!L72,'[2]Country populations'!W72)</f>
        <v>112648</v>
      </c>
      <c r="M71" s="40" t="str">
        <f t="shared" si="4"/>
        <v>Germany</v>
      </c>
      <c r="N71" s="40">
        <f>IF([2]Setup!$B$20=[2]Setup!$U$19,'[2]Country populations'!X72,'[2]Country populations'!AI72)</f>
        <v>642</v>
      </c>
      <c r="O71" s="40">
        <f>IF([2]Setup!$B$20=[2]Setup!$U$19,'[2]Country populations'!Y72,'[2]Country populations'!AJ72)</f>
        <v>665</v>
      </c>
      <c r="P71" s="40">
        <f>IF([2]Setup!$B$20=[2]Setup!$U$19,'[2]Country populations'!Z72,'[2]Country populations'!AK72)</f>
        <v>686</v>
      </c>
      <c r="Q71" s="40">
        <f>IF([2]Setup!$B$20=[2]Setup!$U$19,'[2]Country populations'!AA72,'[2]Country populations'!AL72)</f>
        <v>706</v>
      </c>
      <c r="R71" s="40">
        <f>IF([2]Setup!$B$20=[2]Setup!$U$19,'[2]Country populations'!AB72,'[2]Country populations'!AM72)</f>
        <v>725</v>
      </c>
      <c r="S71" s="40">
        <f>IF([2]Setup!$B$20=[2]Setup!$U$19,'[2]Country populations'!AC72,'[2]Country populations'!AN72)</f>
        <v>742</v>
      </c>
      <c r="T71" s="40">
        <f>IF([2]Setup!$B$20=[2]Setup!$U$19,'[2]Country populations'!AD72,'[2]Country populations'!AO72)</f>
        <v>759</v>
      </c>
      <c r="U71" s="40">
        <f>IF([2]Setup!$B$20=[2]Setup!$U$19,'[2]Country populations'!AE72,'[2]Country populations'!AP72)</f>
        <v>774</v>
      </c>
      <c r="V71" s="40">
        <f>IF([2]Setup!$B$20=[2]Setup!$U$19,'[2]Country populations'!AF72,'[2]Country populations'!AQ72)</f>
        <v>788</v>
      </c>
      <c r="W71" s="40">
        <f>IF([2]Setup!$B$20=[2]Setup!$U$19,'[2]Country populations'!AG72,'[2]Country populations'!AR72)</f>
        <v>798</v>
      </c>
      <c r="X71" s="40">
        <f>IF([2]Setup!$B$20=[2]Setup!$U$19,'[2]Country populations'!AH72,'[2]Country populations'!AS72)</f>
        <v>807</v>
      </c>
      <c r="Y71" s="40" t="str">
        <f t="shared" si="5"/>
        <v>Germany</v>
      </c>
      <c r="Z71" s="40">
        <f>IF([2]Setup!$B$21=[2]Setup!$V$19,'[2]Country populations'!AT72,'[2]Country populations'!BE72)</f>
        <v>299</v>
      </c>
      <c r="AA71" s="40">
        <f>IF([2]Setup!$B$21=[2]Setup!$V$19,'[2]Country populations'!AU72,'[2]Country populations'!BF72)</f>
        <v>306</v>
      </c>
      <c r="AB71" s="40">
        <f>IF([2]Setup!$B$21=[2]Setup!$V$19,'[2]Country populations'!AV72,'[2]Country populations'!BG72)</f>
        <v>312</v>
      </c>
      <c r="AC71" s="40">
        <f>IF([2]Setup!$B$21=[2]Setup!$V$19,'[2]Country populations'!AW72,'[2]Country populations'!BH72)</f>
        <v>317</v>
      </c>
      <c r="AD71" s="40">
        <f>IF([2]Setup!$B$21=[2]Setup!$V$19,'[2]Country populations'!AX72,'[2]Country populations'!BI72)</f>
        <v>321</v>
      </c>
      <c r="AE71" s="40">
        <f>IF([2]Setup!$B$21=[2]Setup!$V$19,'[2]Country populations'!AY72,'[2]Country populations'!BJ72)</f>
        <v>323</v>
      </c>
      <c r="AF71" s="40">
        <f>IF([2]Setup!$B$21=[2]Setup!$V$19,'[2]Country populations'!AZ72,'[2]Country populations'!BK72)</f>
        <v>325</v>
      </c>
      <c r="AG71" s="40">
        <f>IF([2]Setup!$B$21=[2]Setup!$V$19,'[2]Country populations'!BA72,'[2]Country populations'!BL72)</f>
        <v>325</v>
      </c>
      <c r="AH71" s="40">
        <f>IF([2]Setup!$B$21=[2]Setup!$V$19,'[2]Country populations'!BB72,'[2]Country populations'!BM72)</f>
        <v>325</v>
      </c>
      <c r="AI71" s="40">
        <f>IF([2]Setup!$B$21=[2]Setup!$V$19,'[2]Country populations'!BC72,'[2]Country populations'!BN72)</f>
        <v>324</v>
      </c>
      <c r="AJ71" s="40">
        <f>IF([2]Setup!$B$21=[2]Setup!$V$19,'[2]Country populations'!BD72,'[2]Country populations'!BO72)</f>
        <v>322</v>
      </c>
    </row>
    <row r="72" spans="1:36" x14ac:dyDescent="0.25">
      <c r="A72" t="str">
        <f>'[2]Country populations'!A73</f>
        <v>Ghana</v>
      </c>
      <c r="B72" s="40">
        <f>IF([2]Setup!$B$19=[2]Setup!$T$19,'[2]Country populations'!B73,'[2]Country populations'!M73)</f>
        <v>219231</v>
      </c>
      <c r="C72" s="40">
        <f>IF([2]Setup!$B$19=[2]Setup!$T$19,'[2]Country populations'!C73,'[2]Country populations'!N73)</f>
        <v>219773</v>
      </c>
      <c r="D72" s="40">
        <f>IF([2]Setup!$B$19=[2]Setup!$T$19,'[2]Country populations'!D73,'[2]Country populations'!O73)</f>
        <v>219491</v>
      </c>
      <c r="E72" s="40">
        <f>IF([2]Setup!$B$19=[2]Setup!$T$19,'[2]Country populations'!E73,'[2]Country populations'!P73)</f>
        <v>219274</v>
      </c>
      <c r="F72" s="40">
        <f>IF([2]Setup!$B$19=[2]Setup!$T$19,'[2]Country populations'!F73,'[2]Country populations'!Q73)</f>
        <v>219174</v>
      </c>
      <c r="G72" s="40">
        <f>IF([2]Setup!$B$19=[2]Setup!$T$19,'[2]Country populations'!G73,'[2]Country populations'!R73)</f>
        <v>219159</v>
      </c>
      <c r="H72" s="40">
        <f>IF([2]Setup!$B$19=[2]Setup!$T$19,'[2]Country populations'!H73,'[2]Country populations'!S73)</f>
        <v>219353</v>
      </c>
      <c r="I72" s="40">
        <f>IF([2]Setup!$B$19=[2]Setup!$T$19,'[2]Country populations'!I73,'[2]Country populations'!T73)</f>
        <v>219566</v>
      </c>
      <c r="J72" s="40">
        <f>IF([2]Setup!$B$19=[2]Setup!$T$19,'[2]Country populations'!J73,'[2]Country populations'!U73)</f>
        <v>219814</v>
      </c>
      <c r="K72" s="40">
        <f>IF([2]Setup!$B$19=[2]Setup!$T$19,'[2]Country populations'!K73,'[2]Country populations'!V73)</f>
        <v>220139</v>
      </c>
      <c r="L72" s="40">
        <f>IF([2]Setup!$B$19=[2]Setup!$T$19,'[2]Country populations'!L73,'[2]Country populations'!W73)</f>
        <v>220428</v>
      </c>
      <c r="M72" s="40" t="str">
        <f t="shared" si="4"/>
        <v>Ghana</v>
      </c>
      <c r="N72" s="40">
        <f>IF([2]Setup!$B$20=[2]Setup!$U$19,'[2]Country populations'!X73,'[2]Country populations'!AI73)</f>
        <v>30340</v>
      </c>
      <c r="O72" s="40">
        <f>IF([2]Setup!$B$20=[2]Setup!$U$19,'[2]Country populations'!Y73,'[2]Country populations'!AJ73)</f>
        <v>29225</v>
      </c>
      <c r="P72" s="40">
        <f>IF([2]Setup!$B$20=[2]Setup!$U$19,'[2]Country populations'!Z73,'[2]Country populations'!AK73)</f>
        <v>28173</v>
      </c>
      <c r="Q72" s="40">
        <f>IF([2]Setup!$B$20=[2]Setup!$U$19,'[2]Country populations'!AA73,'[2]Country populations'!AL73)</f>
        <v>26954</v>
      </c>
      <c r="R72" s="40">
        <f>IF([2]Setup!$B$20=[2]Setup!$U$19,'[2]Country populations'!AB73,'[2]Country populations'!AM73)</f>
        <v>25861</v>
      </c>
      <c r="S72" s="40">
        <f>IF([2]Setup!$B$20=[2]Setup!$U$19,'[2]Country populations'!AC73,'[2]Country populations'!AN73)</f>
        <v>24749</v>
      </c>
      <c r="T72" s="40">
        <f>IF([2]Setup!$B$20=[2]Setup!$U$19,'[2]Country populations'!AD73,'[2]Country populations'!AO73)</f>
        <v>23435</v>
      </c>
      <c r="U72" s="40">
        <f>IF([2]Setup!$B$20=[2]Setup!$U$19,'[2]Country populations'!AE73,'[2]Country populations'!AP73)</f>
        <v>21986</v>
      </c>
      <c r="V72" s="40">
        <f>IF([2]Setup!$B$20=[2]Setup!$U$19,'[2]Country populations'!AF73,'[2]Country populations'!AQ73)</f>
        <v>20349</v>
      </c>
      <c r="W72" s="40">
        <f>IF([2]Setup!$B$20=[2]Setup!$U$19,'[2]Country populations'!AG73,'[2]Country populations'!AR73)</f>
        <v>18629</v>
      </c>
      <c r="X72" s="40">
        <f>IF([2]Setup!$B$20=[2]Setup!$U$19,'[2]Country populations'!AH73,'[2]Country populations'!AS73)</f>
        <v>17009</v>
      </c>
      <c r="Y72" s="40" t="str">
        <f t="shared" si="5"/>
        <v>Ghana</v>
      </c>
      <c r="Z72" s="40">
        <f>IF([2]Setup!$B$21=[2]Setup!$V$19,'[2]Country populations'!AT73,'[2]Country populations'!BE73)</f>
        <v>12311</v>
      </c>
      <c r="AA72" s="40">
        <f>IF([2]Setup!$B$21=[2]Setup!$V$19,'[2]Country populations'!AU73,'[2]Country populations'!BF73)</f>
        <v>11643</v>
      </c>
      <c r="AB72" s="40">
        <f>IF([2]Setup!$B$21=[2]Setup!$V$19,'[2]Country populations'!AV73,'[2]Country populations'!BG73)</f>
        <v>10911</v>
      </c>
      <c r="AC72" s="40">
        <f>IF([2]Setup!$B$21=[2]Setup!$V$19,'[2]Country populations'!AW73,'[2]Country populations'!BH73)</f>
        <v>10169</v>
      </c>
      <c r="AD72" s="40">
        <f>IF([2]Setup!$B$21=[2]Setup!$V$19,'[2]Country populations'!AX73,'[2]Country populations'!BI73)</f>
        <v>9453</v>
      </c>
      <c r="AE72" s="40">
        <f>IF([2]Setup!$B$21=[2]Setup!$V$19,'[2]Country populations'!AY73,'[2]Country populations'!BJ73)</f>
        <v>8771</v>
      </c>
      <c r="AF72" s="40">
        <f>IF([2]Setup!$B$21=[2]Setup!$V$19,'[2]Country populations'!AZ73,'[2]Country populations'!BK73)</f>
        <v>8126</v>
      </c>
      <c r="AG72" s="40">
        <f>IF([2]Setup!$B$21=[2]Setup!$V$19,'[2]Country populations'!BA73,'[2]Country populations'!BL73)</f>
        <v>7525</v>
      </c>
      <c r="AH72" s="40">
        <f>IF([2]Setup!$B$21=[2]Setup!$V$19,'[2]Country populations'!BB73,'[2]Country populations'!BM73)</f>
        <v>6973</v>
      </c>
      <c r="AI72" s="40">
        <f>IF([2]Setup!$B$21=[2]Setup!$V$19,'[2]Country populations'!BC73,'[2]Country populations'!BN73)</f>
        <v>6471</v>
      </c>
      <c r="AJ72" s="40">
        <f>IF([2]Setup!$B$21=[2]Setup!$V$19,'[2]Country populations'!BD73,'[2]Country populations'!BO73)</f>
        <v>6022</v>
      </c>
    </row>
    <row r="73" spans="1:36" x14ac:dyDescent="0.25">
      <c r="A73" t="str">
        <f>'[2]Country populations'!A74</f>
        <v>Greece</v>
      </c>
      <c r="B73" s="40">
        <f>IF([2]Setup!$B$19=[2]Setup!$T$19,'[2]Country populations'!B74,'[2]Country populations'!M74)</f>
        <v>15230</v>
      </c>
      <c r="C73" s="40">
        <f>IF([2]Setup!$B$19=[2]Setup!$T$19,'[2]Country populations'!C74,'[2]Country populations'!N74)</f>
        <v>16134</v>
      </c>
      <c r="D73" s="40">
        <f>IF([2]Setup!$B$19=[2]Setup!$T$19,'[2]Country populations'!D74,'[2]Country populations'!O74)</f>
        <v>17007</v>
      </c>
      <c r="E73" s="40">
        <f>IF([2]Setup!$B$19=[2]Setup!$T$19,'[2]Country populations'!E74,'[2]Country populations'!P74)</f>
        <v>17849</v>
      </c>
      <c r="F73" s="40">
        <f>IF([2]Setup!$B$19=[2]Setup!$T$19,'[2]Country populations'!F74,'[2]Country populations'!Q74)</f>
        <v>18661</v>
      </c>
      <c r="G73" s="40">
        <f>IF([2]Setup!$B$19=[2]Setup!$T$19,'[2]Country populations'!G74,'[2]Country populations'!R74)</f>
        <v>19447</v>
      </c>
      <c r="H73" s="40">
        <f>IF([2]Setup!$B$19=[2]Setup!$T$19,'[2]Country populations'!H74,'[2]Country populations'!S74)</f>
        <v>20198</v>
      </c>
      <c r="I73" s="40">
        <f>IF([2]Setup!$B$19=[2]Setup!$T$19,'[2]Country populations'!I74,'[2]Country populations'!T74)</f>
        <v>20919</v>
      </c>
      <c r="J73" s="40">
        <f>IF([2]Setup!$B$19=[2]Setup!$T$19,'[2]Country populations'!J74,'[2]Country populations'!U74)</f>
        <v>21609</v>
      </c>
      <c r="K73" s="40">
        <f>IF([2]Setup!$B$19=[2]Setup!$T$19,'[2]Country populations'!K74,'[2]Country populations'!V74)</f>
        <v>22268</v>
      </c>
      <c r="L73" s="40">
        <f>IF([2]Setup!$B$19=[2]Setup!$T$19,'[2]Country populations'!L74,'[2]Country populations'!W74)</f>
        <v>22891</v>
      </c>
      <c r="M73" s="40" t="str">
        <f t="shared" si="4"/>
        <v>Greece</v>
      </c>
      <c r="N73" s="40">
        <f>IF([2]Setup!$B$20=[2]Setup!$U$19,'[2]Country populations'!X74,'[2]Country populations'!AI74)</f>
        <v>22</v>
      </c>
      <c r="O73" s="40">
        <f>IF([2]Setup!$B$20=[2]Setup!$U$19,'[2]Country populations'!Y74,'[2]Country populations'!AJ74)</f>
        <v>26</v>
      </c>
      <c r="P73" s="40">
        <f>IF([2]Setup!$B$20=[2]Setup!$U$19,'[2]Country populations'!Z74,'[2]Country populations'!AK74)</f>
        <v>30</v>
      </c>
      <c r="Q73" s="40">
        <f>IF([2]Setup!$B$20=[2]Setup!$U$19,'[2]Country populations'!AA74,'[2]Country populations'!AL74)</f>
        <v>33</v>
      </c>
      <c r="R73" s="40">
        <f>IF([2]Setup!$B$20=[2]Setup!$U$19,'[2]Country populations'!AB74,'[2]Country populations'!AM74)</f>
        <v>34</v>
      </c>
      <c r="S73" s="40">
        <f>IF([2]Setup!$B$20=[2]Setup!$U$19,'[2]Country populations'!AC74,'[2]Country populations'!AN74)</f>
        <v>38</v>
      </c>
      <c r="T73" s="40">
        <f>IF([2]Setup!$B$20=[2]Setup!$U$19,'[2]Country populations'!AD74,'[2]Country populations'!AO74)</f>
        <v>43</v>
      </c>
      <c r="U73" s="40">
        <f>IF([2]Setup!$B$20=[2]Setup!$U$19,'[2]Country populations'!AE74,'[2]Country populations'!AP74)</f>
        <v>50</v>
      </c>
      <c r="V73" s="40">
        <f>IF([2]Setup!$B$20=[2]Setup!$U$19,'[2]Country populations'!AF74,'[2]Country populations'!AQ74)</f>
        <v>58</v>
      </c>
      <c r="W73" s="40">
        <f>IF([2]Setup!$B$20=[2]Setup!$U$19,'[2]Country populations'!AG74,'[2]Country populations'!AR74)</f>
        <v>67</v>
      </c>
      <c r="X73" s="40">
        <f>IF([2]Setup!$B$20=[2]Setup!$U$19,'[2]Country populations'!AH74,'[2]Country populations'!AS74)</f>
        <v>77</v>
      </c>
      <c r="Y73" s="40" t="str">
        <f t="shared" si="5"/>
        <v>Greece</v>
      </c>
      <c r="Z73" s="40">
        <f>IF([2]Setup!$B$21=[2]Setup!$V$19,'[2]Country populations'!AT74,'[2]Country populations'!BE74)</f>
        <v>59</v>
      </c>
      <c r="AA73" s="40">
        <f>IF([2]Setup!$B$21=[2]Setup!$V$19,'[2]Country populations'!AU74,'[2]Country populations'!BF74)</f>
        <v>61</v>
      </c>
      <c r="AB73" s="40">
        <f>IF([2]Setup!$B$21=[2]Setup!$V$19,'[2]Country populations'!AV74,'[2]Country populations'!BG74)</f>
        <v>64</v>
      </c>
      <c r="AC73" s="40">
        <f>IF([2]Setup!$B$21=[2]Setup!$V$19,'[2]Country populations'!AW74,'[2]Country populations'!BH74)</f>
        <v>66</v>
      </c>
      <c r="AD73" s="40">
        <f>IF([2]Setup!$B$21=[2]Setup!$V$19,'[2]Country populations'!AX74,'[2]Country populations'!BI74)</f>
        <v>68</v>
      </c>
      <c r="AE73" s="40">
        <f>IF([2]Setup!$B$21=[2]Setup!$V$19,'[2]Country populations'!AY74,'[2]Country populations'!BJ74)</f>
        <v>70</v>
      </c>
      <c r="AF73" s="40">
        <f>IF([2]Setup!$B$21=[2]Setup!$V$19,'[2]Country populations'!AZ74,'[2]Country populations'!BK74)</f>
        <v>72</v>
      </c>
      <c r="AG73" s="40">
        <f>IF([2]Setup!$B$21=[2]Setup!$V$19,'[2]Country populations'!BA74,'[2]Country populations'!BL74)</f>
        <v>74</v>
      </c>
      <c r="AH73" s="40">
        <f>IF([2]Setup!$B$21=[2]Setup!$V$19,'[2]Country populations'!BB74,'[2]Country populations'!BM74)</f>
        <v>75</v>
      </c>
      <c r="AI73" s="40">
        <f>IF([2]Setup!$B$21=[2]Setup!$V$19,'[2]Country populations'!BC74,'[2]Country populations'!BN74)</f>
        <v>77</v>
      </c>
      <c r="AJ73" s="40">
        <f>IF([2]Setup!$B$21=[2]Setup!$V$19,'[2]Country populations'!BD74,'[2]Country populations'!BO74)</f>
        <v>78</v>
      </c>
    </row>
    <row r="74" spans="1:36" x14ac:dyDescent="0.25">
      <c r="A74" t="str">
        <f>'[2]Country populations'!A75</f>
        <v>Grenada</v>
      </c>
      <c r="B74" s="40">
        <f>IF([2]Setup!$B$19=[2]Setup!$T$19,'[2]Country populations'!B75,'[2]Country populations'!M75)</f>
        <v>0</v>
      </c>
      <c r="C74" s="40">
        <f>IF([2]Setup!$B$19=[2]Setup!$T$19,'[2]Country populations'!C75,'[2]Country populations'!N75)</f>
        <v>0</v>
      </c>
      <c r="D74" s="40">
        <f>IF([2]Setup!$B$19=[2]Setup!$T$19,'[2]Country populations'!D75,'[2]Country populations'!O75)</f>
        <v>0</v>
      </c>
      <c r="E74" s="40">
        <f>IF([2]Setup!$B$19=[2]Setup!$T$19,'[2]Country populations'!E75,'[2]Country populations'!P75)</f>
        <v>0</v>
      </c>
      <c r="F74" s="40">
        <f>IF([2]Setup!$B$19=[2]Setup!$T$19,'[2]Country populations'!F75,'[2]Country populations'!Q75)</f>
        <v>0</v>
      </c>
      <c r="G74" s="40">
        <f>IF([2]Setup!$B$19=[2]Setup!$T$19,'[2]Country populations'!G75,'[2]Country populations'!R75)</f>
        <v>0</v>
      </c>
      <c r="H74" s="40">
        <f>IF([2]Setup!$B$19=[2]Setup!$T$19,'[2]Country populations'!H75,'[2]Country populations'!S75)</f>
        <v>0</v>
      </c>
      <c r="I74" s="40">
        <f>IF([2]Setup!$B$19=[2]Setup!$T$19,'[2]Country populations'!I75,'[2]Country populations'!T75)</f>
        <v>0</v>
      </c>
      <c r="J74" s="40">
        <f>IF([2]Setup!$B$19=[2]Setup!$T$19,'[2]Country populations'!J75,'[2]Country populations'!U75)</f>
        <v>0</v>
      </c>
      <c r="K74" s="40">
        <f>IF([2]Setup!$B$19=[2]Setup!$T$19,'[2]Country populations'!K75,'[2]Country populations'!V75)</f>
        <v>0</v>
      </c>
      <c r="L74" s="40">
        <f>IF([2]Setup!$B$19=[2]Setup!$T$19,'[2]Country populations'!L75,'[2]Country populations'!W75)</f>
        <v>0</v>
      </c>
      <c r="M74" s="40" t="str">
        <f t="shared" si="4"/>
        <v>Grenada</v>
      </c>
      <c r="N74" s="40">
        <f>IF([2]Setup!$B$20=[2]Setup!$U$19,'[2]Country populations'!X75,'[2]Country populations'!AI75)</f>
        <v>0</v>
      </c>
      <c r="O74" s="40">
        <f>IF([2]Setup!$B$20=[2]Setup!$U$19,'[2]Country populations'!Y75,'[2]Country populations'!AJ75)</f>
        <v>0</v>
      </c>
      <c r="P74" s="40">
        <f>IF([2]Setup!$B$20=[2]Setup!$U$19,'[2]Country populations'!Z75,'[2]Country populations'!AK75)</f>
        <v>0</v>
      </c>
      <c r="Q74" s="40">
        <f>IF([2]Setup!$B$20=[2]Setup!$U$19,'[2]Country populations'!AA75,'[2]Country populations'!AL75)</f>
        <v>0</v>
      </c>
      <c r="R74" s="40">
        <f>IF([2]Setup!$B$20=[2]Setup!$U$19,'[2]Country populations'!AB75,'[2]Country populations'!AM75)</f>
        <v>0</v>
      </c>
      <c r="S74" s="40">
        <f>IF([2]Setup!$B$20=[2]Setup!$U$19,'[2]Country populations'!AC75,'[2]Country populations'!AN75)</f>
        <v>0</v>
      </c>
      <c r="T74" s="40">
        <f>IF([2]Setup!$B$20=[2]Setup!$U$19,'[2]Country populations'!AD75,'[2]Country populations'!AO75)</f>
        <v>0</v>
      </c>
      <c r="U74" s="40">
        <f>IF([2]Setup!$B$20=[2]Setup!$U$19,'[2]Country populations'!AE75,'[2]Country populations'!AP75)</f>
        <v>0</v>
      </c>
      <c r="V74" s="40">
        <f>IF([2]Setup!$B$20=[2]Setup!$U$19,'[2]Country populations'!AF75,'[2]Country populations'!AQ75)</f>
        <v>0</v>
      </c>
      <c r="W74" s="40">
        <f>IF([2]Setup!$B$20=[2]Setup!$U$19,'[2]Country populations'!AG75,'[2]Country populations'!AR75)</f>
        <v>0</v>
      </c>
      <c r="X74" s="40">
        <f>IF([2]Setup!$B$20=[2]Setup!$U$19,'[2]Country populations'!AH75,'[2]Country populations'!AS75)</f>
        <v>0</v>
      </c>
      <c r="Y74" s="40" t="str">
        <f t="shared" si="5"/>
        <v>Grenada</v>
      </c>
      <c r="Z74" s="40">
        <f>IF([2]Setup!$B$21=[2]Setup!$V$19,'[2]Country populations'!AT75,'[2]Country populations'!BE75)</f>
        <v>0</v>
      </c>
      <c r="AA74" s="40">
        <f>IF([2]Setup!$B$21=[2]Setup!$V$19,'[2]Country populations'!AU75,'[2]Country populations'!BF75)</f>
        <v>0</v>
      </c>
      <c r="AB74" s="40">
        <f>IF([2]Setup!$B$21=[2]Setup!$V$19,'[2]Country populations'!AV75,'[2]Country populations'!BG75)</f>
        <v>0</v>
      </c>
      <c r="AC74" s="40">
        <f>IF([2]Setup!$B$21=[2]Setup!$V$19,'[2]Country populations'!AW75,'[2]Country populations'!BH75)</f>
        <v>0</v>
      </c>
      <c r="AD74" s="40">
        <f>IF([2]Setup!$B$21=[2]Setup!$V$19,'[2]Country populations'!AX75,'[2]Country populations'!BI75)</f>
        <v>0</v>
      </c>
      <c r="AE74" s="40">
        <f>IF([2]Setup!$B$21=[2]Setup!$V$19,'[2]Country populations'!AY75,'[2]Country populations'!BJ75)</f>
        <v>0</v>
      </c>
      <c r="AF74" s="40">
        <f>IF([2]Setup!$B$21=[2]Setup!$V$19,'[2]Country populations'!AZ75,'[2]Country populations'!BK75)</f>
        <v>0</v>
      </c>
      <c r="AG74" s="40">
        <f>IF([2]Setup!$B$21=[2]Setup!$V$19,'[2]Country populations'!BA75,'[2]Country populations'!BL75)</f>
        <v>0</v>
      </c>
      <c r="AH74" s="40">
        <f>IF([2]Setup!$B$21=[2]Setup!$V$19,'[2]Country populations'!BB75,'[2]Country populations'!BM75)</f>
        <v>0</v>
      </c>
      <c r="AI74" s="40">
        <f>IF([2]Setup!$B$21=[2]Setup!$V$19,'[2]Country populations'!BC75,'[2]Country populations'!BN75)</f>
        <v>0</v>
      </c>
      <c r="AJ74" s="40">
        <f>IF([2]Setup!$B$21=[2]Setup!$V$19,'[2]Country populations'!BD75,'[2]Country populations'!BO75)</f>
        <v>0</v>
      </c>
    </row>
    <row r="75" spans="1:36" x14ac:dyDescent="0.25">
      <c r="A75" t="str">
        <f>'[2]Country populations'!A76</f>
        <v>Guadeloupe</v>
      </c>
      <c r="B75" s="40">
        <f>IF([2]Setup!$B$19=[2]Setup!$T$19,'[2]Country populations'!B76,'[2]Country populations'!M76)</f>
        <v>0</v>
      </c>
      <c r="C75" s="40">
        <f>IF([2]Setup!$B$19=[2]Setup!$T$19,'[2]Country populations'!C76,'[2]Country populations'!N76)</f>
        <v>0</v>
      </c>
      <c r="D75" s="40">
        <f>IF([2]Setup!$B$19=[2]Setup!$T$19,'[2]Country populations'!D76,'[2]Country populations'!O76)</f>
        <v>0</v>
      </c>
      <c r="E75" s="40">
        <f>IF([2]Setup!$B$19=[2]Setup!$T$19,'[2]Country populations'!E76,'[2]Country populations'!P76)</f>
        <v>0</v>
      </c>
      <c r="F75" s="40">
        <f>IF([2]Setup!$B$19=[2]Setup!$T$19,'[2]Country populations'!F76,'[2]Country populations'!Q76)</f>
        <v>0</v>
      </c>
      <c r="G75" s="40">
        <f>IF([2]Setup!$B$19=[2]Setup!$T$19,'[2]Country populations'!G76,'[2]Country populations'!R76)</f>
        <v>0</v>
      </c>
      <c r="H75" s="40">
        <f>IF([2]Setup!$B$19=[2]Setup!$T$19,'[2]Country populations'!H76,'[2]Country populations'!S76)</f>
        <v>0</v>
      </c>
      <c r="I75" s="40">
        <f>IF([2]Setup!$B$19=[2]Setup!$T$19,'[2]Country populations'!I76,'[2]Country populations'!T76)</f>
        <v>0</v>
      </c>
      <c r="J75" s="40">
        <f>IF([2]Setup!$B$19=[2]Setup!$T$19,'[2]Country populations'!J76,'[2]Country populations'!U76)</f>
        <v>0</v>
      </c>
      <c r="K75" s="40">
        <f>IF([2]Setup!$B$19=[2]Setup!$T$19,'[2]Country populations'!K76,'[2]Country populations'!V76)</f>
        <v>0</v>
      </c>
      <c r="L75" s="40">
        <f>IF([2]Setup!$B$19=[2]Setup!$T$19,'[2]Country populations'!L76,'[2]Country populations'!W76)</f>
        <v>0</v>
      </c>
      <c r="M75" s="40" t="str">
        <f t="shared" si="4"/>
        <v>Guadeloupe</v>
      </c>
      <c r="N75" s="40">
        <f>IF([2]Setup!$B$20=[2]Setup!$U$19,'[2]Country populations'!X76,'[2]Country populations'!AI76)</f>
        <v>0</v>
      </c>
      <c r="O75" s="40">
        <f>IF([2]Setup!$B$20=[2]Setup!$U$19,'[2]Country populations'!Y76,'[2]Country populations'!AJ76)</f>
        <v>0</v>
      </c>
      <c r="P75" s="40">
        <f>IF([2]Setup!$B$20=[2]Setup!$U$19,'[2]Country populations'!Z76,'[2]Country populations'!AK76)</f>
        <v>0</v>
      </c>
      <c r="Q75" s="40">
        <f>IF([2]Setup!$B$20=[2]Setup!$U$19,'[2]Country populations'!AA76,'[2]Country populations'!AL76)</f>
        <v>0</v>
      </c>
      <c r="R75" s="40">
        <f>IF([2]Setup!$B$20=[2]Setup!$U$19,'[2]Country populations'!AB76,'[2]Country populations'!AM76)</f>
        <v>0</v>
      </c>
      <c r="S75" s="40">
        <f>IF([2]Setup!$B$20=[2]Setup!$U$19,'[2]Country populations'!AC76,'[2]Country populations'!AN76)</f>
        <v>0</v>
      </c>
      <c r="T75" s="40">
        <f>IF([2]Setup!$B$20=[2]Setup!$U$19,'[2]Country populations'!AD76,'[2]Country populations'!AO76)</f>
        <v>0</v>
      </c>
      <c r="U75" s="40">
        <f>IF([2]Setup!$B$20=[2]Setup!$U$19,'[2]Country populations'!AE76,'[2]Country populations'!AP76)</f>
        <v>0</v>
      </c>
      <c r="V75" s="40">
        <f>IF([2]Setup!$B$20=[2]Setup!$U$19,'[2]Country populations'!AF76,'[2]Country populations'!AQ76)</f>
        <v>0</v>
      </c>
      <c r="W75" s="40">
        <f>IF([2]Setup!$B$20=[2]Setup!$U$19,'[2]Country populations'!AG76,'[2]Country populations'!AR76)</f>
        <v>0</v>
      </c>
      <c r="X75" s="40">
        <f>IF([2]Setup!$B$20=[2]Setup!$U$19,'[2]Country populations'!AH76,'[2]Country populations'!AS76)</f>
        <v>0</v>
      </c>
      <c r="Y75" s="40" t="str">
        <f t="shared" si="5"/>
        <v>Guadeloupe</v>
      </c>
      <c r="Z75" s="40">
        <f>IF([2]Setup!$B$21=[2]Setup!$V$19,'[2]Country populations'!AT76,'[2]Country populations'!BE76)</f>
        <v>0</v>
      </c>
      <c r="AA75" s="40">
        <f>IF([2]Setup!$B$21=[2]Setup!$V$19,'[2]Country populations'!AU76,'[2]Country populations'!BF76)</f>
        <v>0</v>
      </c>
      <c r="AB75" s="40">
        <f>IF([2]Setup!$B$21=[2]Setup!$V$19,'[2]Country populations'!AV76,'[2]Country populations'!BG76)</f>
        <v>0</v>
      </c>
      <c r="AC75" s="40">
        <f>IF([2]Setup!$B$21=[2]Setup!$V$19,'[2]Country populations'!AW76,'[2]Country populations'!BH76)</f>
        <v>0</v>
      </c>
      <c r="AD75" s="40">
        <f>IF([2]Setup!$B$21=[2]Setup!$V$19,'[2]Country populations'!AX76,'[2]Country populations'!BI76)</f>
        <v>0</v>
      </c>
      <c r="AE75" s="40">
        <f>IF([2]Setup!$B$21=[2]Setup!$V$19,'[2]Country populations'!AY76,'[2]Country populations'!BJ76)</f>
        <v>0</v>
      </c>
      <c r="AF75" s="40">
        <f>IF([2]Setup!$B$21=[2]Setup!$V$19,'[2]Country populations'!AZ76,'[2]Country populations'!BK76)</f>
        <v>0</v>
      </c>
      <c r="AG75" s="40">
        <f>IF([2]Setup!$B$21=[2]Setup!$V$19,'[2]Country populations'!BA76,'[2]Country populations'!BL76)</f>
        <v>0</v>
      </c>
      <c r="AH75" s="40">
        <f>IF([2]Setup!$B$21=[2]Setup!$V$19,'[2]Country populations'!BB76,'[2]Country populations'!BM76)</f>
        <v>0</v>
      </c>
      <c r="AI75" s="40">
        <f>IF([2]Setup!$B$21=[2]Setup!$V$19,'[2]Country populations'!BC76,'[2]Country populations'!BN76)</f>
        <v>0</v>
      </c>
      <c r="AJ75" s="40">
        <f>IF([2]Setup!$B$21=[2]Setup!$V$19,'[2]Country populations'!BD76,'[2]Country populations'!BO76)</f>
        <v>0</v>
      </c>
    </row>
    <row r="76" spans="1:36" x14ac:dyDescent="0.25">
      <c r="A76" t="str">
        <f>'[2]Country populations'!A77</f>
        <v>Guam</v>
      </c>
      <c r="B76" s="40">
        <f>IF([2]Setup!$B$19=[2]Setup!$T$19,'[2]Country populations'!B77,'[2]Country populations'!M77)</f>
        <v>0</v>
      </c>
      <c r="C76" s="40">
        <f>IF([2]Setup!$B$19=[2]Setup!$T$19,'[2]Country populations'!C77,'[2]Country populations'!N77)</f>
        <v>0</v>
      </c>
      <c r="D76" s="40">
        <f>IF([2]Setup!$B$19=[2]Setup!$T$19,'[2]Country populations'!D77,'[2]Country populations'!O77)</f>
        <v>0</v>
      </c>
      <c r="E76" s="40">
        <f>IF([2]Setup!$B$19=[2]Setup!$T$19,'[2]Country populations'!E77,'[2]Country populations'!P77)</f>
        <v>0</v>
      </c>
      <c r="F76" s="40">
        <f>IF([2]Setup!$B$19=[2]Setup!$T$19,'[2]Country populations'!F77,'[2]Country populations'!Q77)</f>
        <v>0</v>
      </c>
      <c r="G76" s="40">
        <f>IF([2]Setup!$B$19=[2]Setup!$T$19,'[2]Country populations'!G77,'[2]Country populations'!R77)</f>
        <v>0</v>
      </c>
      <c r="H76" s="40">
        <f>IF([2]Setup!$B$19=[2]Setup!$T$19,'[2]Country populations'!H77,'[2]Country populations'!S77)</f>
        <v>0</v>
      </c>
      <c r="I76" s="40">
        <f>IF([2]Setup!$B$19=[2]Setup!$T$19,'[2]Country populations'!I77,'[2]Country populations'!T77)</f>
        <v>0</v>
      </c>
      <c r="J76" s="40">
        <f>IF([2]Setup!$B$19=[2]Setup!$T$19,'[2]Country populations'!J77,'[2]Country populations'!U77)</f>
        <v>0</v>
      </c>
      <c r="K76" s="40">
        <f>IF([2]Setup!$B$19=[2]Setup!$T$19,'[2]Country populations'!K77,'[2]Country populations'!V77)</f>
        <v>0</v>
      </c>
      <c r="L76" s="40">
        <f>IF([2]Setup!$B$19=[2]Setup!$T$19,'[2]Country populations'!L77,'[2]Country populations'!W77)</f>
        <v>0</v>
      </c>
      <c r="M76" s="40" t="str">
        <f t="shared" si="4"/>
        <v>Guam</v>
      </c>
      <c r="N76" s="40">
        <f>IF([2]Setup!$B$20=[2]Setup!$U$19,'[2]Country populations'!X77,'[2]Country populations'!AI77)</f>
        <v>0</v>
      </c>
      <c r="O76" s="40">
        <f>IF([2]Setup!$B$20=[2]Setup!$U$19,'[2]Country populations'!Y77,'[2]Country populations'!AJ77)</f>
        <v>0</v>
      </c>
      <c r="P76" s="40">
        <f>IF([2]Setup!$B$20=[2]Setup!$U$19,'[2]Country populations'!Z77,'[2]Country populations'!AK77)</f>
        <v>0</v>
      </c>
      <c r="Q76" s="40">
        <f>IF([2]Setup!$B$20=[2]Setup!$U$19,'[2]Country populations'!AA77,'[2]Country populations'!AL77)</f>
        <v>0</v>
      </c>
      <c r="R76" s="40">
        <f>IF([2]Setup!$B$20=[2]Setup!$U$19,'[2]Country populations'!AB77,'[2]Country populations'!AM77)</f>
        <v>0</v>
      </c>
      <c r="S76" s="40">
        <f>IF([2]Setup!$B$20=[2]Setup!$U$19,'[2]Country populations'!AC77,'[2]Country populations'!AN77)</f>
        <v>0</v>
      </c>
      <c r="T76" s="40">
        <f>IF([2]Setup!$B$20=[2]Setup!$U$19,'[2]Country populations'!AD77,'[2]Country populations'!AO77)</f>
        <v>0</v>
      </c>
      <c r="U76" s="40">
        <f>IF([2]Setup!$B$20=[2]Setup!$U$19,'[2]Country populations'!AE77,'[2]Country populations'!AP77)</f>
        <v>0</v>
      </c>
      <c r="V76" s="40">
        <f>IF([2]Setup!$B$20=[2]Setup!$U$19,'[2]Country populations'!AF77,'[2]Country populations'!AQ77)</f>
        <v>0</v>
      </c>
      <c r="W76" s="40">
        <f>IF([2]Setup!$B$20=[2]Setup!$U$19,'[2]Country populations'!AG77,'[2]Country populations'!AR77)</f>
        <v>0</v>
      </c>
      <c r="X76" s="40">
        <f>IF([2]Setup!$B$20=[2]Setup!$U$19,'[2]Country populations'!AH77,'[2]Country populations'!AS77)</f>
        <v>0</v>
      </c>
      <c r="Y76" s="40" t="str">
        <f t="shared" si="5"/>
        <v>Guam</v>
      </c>
      <c r="Z76" s="40">
        <f>IF([2]Setup!$B$21=[2]Setup!$V$19,'[2]Country populations'!AT77,'[2]Country populations'!BE77)</f>
        <v>0</v>
      </c>
      <c r="AA76" s="40">
        <f>IF([2]Setup!$B$21=[2]Setup!$V$19,'[2]Country populations'!AU77,'[2]Country populations'!BF77)</f>
        <v>0</v>
      </c>
      <c r="AB76" s="40">
        <f>IF([2]Setup!$B$21=[2]Setup!$V$19,'[2]Country populations'!AV77,'[2]Country populations'!BG77)</f>
        <v>0</v>
      </c>
      <c r="AC76" s="40">
        <f>IF([2]Setup!$B$21=[2]Setup!$V$19,'[2]Country populations'!AW77,'[2]Country populations'!BH77)</f>
        <v>0</v>
      </c>
      <c r="AD76" s="40">
        <f>IF([2]Setup!$B$21=[2]Setup!$V$19,'[2]Country populations'!AX77,'[2]Country populations'!BI77)</f>
        <v>0</v>
      </c>
      <c r="AE76" s="40">
        <f>IF([2]Setup!$B$21=[2]Setup!$V$19,'[2]Country populations'!AY77,'[2]Country populations'!BJ77)</f>
        <v>0</v>
      </c>
      <c r="AF76" s="40">
        <f>IF([2]Setup!$B$21=[2]Setup!$V$19,'[2]Country populations'!AZ77,'[2]Country populations'!BK77)</f>
        <v>0</v>
      </c>
      <c r="AG76" s="40">
        <f>IF([2]Setup!$B$21=[2]Setup!$V$19,'[2]Country populations'!BA77,'[2]Country populations'!BL77)</f>
        <v>0</v>
      </c>
      <c r="AH76" s="40">
        <f>IF([2]Setup!$B$21=[2]Setup!$V$19,'[2]Country populations'!BB77,'[2]Country populations'!BM77)</f>
        <v>0</v>
      </c>
      <c r="AI76" s="40">
        <f>IF([2]Setup!$B$21=[2]Setup!$V$19,'[2]Country populations'!BC77,'[2]Country populations'!BN77)</f>
        <v>0</v>
      </c>
      <c r="AJ76" s="40">
        <f>IF([2]Setup!$B$21=[2]Setup!$V$19,'[2]Country populations'!BD77,'[2]Country populations'!BO77)</f>
        <v>0</v>
      </c>
    </row>
    <row r="77" spans="1:36" x14ac:dyDescent="0.25">
      <c r="A77" t="str">
        <f>'[2]Country populations'!A78</f>
        <v>Guatemala</v>
      </c>
      <c r="B77" s="40">
        <f>IF([2]Setup!$B$19=[2]Setup!$T$19,'[2]Country populations'!B78,'[2]Country populations'!M78)</f>
        <v>52519</v>
      </c>
      <c r="C77" s="40">
        <f>IF([2]Setup!$B$19=[2]Setup!$T$19,'[2]Country populations'!C78,'[2]Country populations'!N78)</f>
        <v>53851</v>
      </c>
      <c r="D77" s="40">
        <f>IF([2]Setup!$B$19=[2]Setup!$T$19,'[2]Country populations'!D78,'[2]Country populations'!O78)</f>
        <v>54919</v>
      </c>
      <c r="E77" s="40">
        <f>IF([2]Setup!$B$19=[2]Setup!$T$19,'[2]Country populations'!E78,'[2]Country populations'!P78)</f>
        <v>55922</v>
      </c>
      <c r="F77" s="40">
        <f>IF([2]Setup!$B$19=[2]Setup!$T$19,'[2]Country populations'!F78,'[2]Country populations'!Q78)</f>
        <v>56955</v>
      </c>
      <c r="G77" s="40">
        <f>IF([2]Setup!$B$19=[2]Setup!$T$19,'[2]Country populations'!G78,'[2]Country populations'!R78)</f>
        <v>58054</v>
      </c>
      <c r="H77" s="40">
        <f>IF([2]Setup!$B$19=[2]Setup!$T$19,'[2]Country populations'!H78,'[2]Country populations'!S78)</f>
        <v>59210</v>
      </c>
      <c r="I77" s="40">
        <f>IF([2]Setup!$B$19=[2]Setup!$T$19,'[2]Country populations'!I78,'[2]Country populations'!T78)</f>
        <v>60415</v>
      </c>
      <c r="J77" s="40">
        <f>IF([2]Setup!$B$19=[2]Setup!$T$19,'[2]Country populations'!J78,'[2]Country populations'!U78)</f>
        <v>61669</v>
      </c>
      <c r="K77" s="40">
        <f>IF([2]Setup!$B$19=[2]Setup!$T$19,'[2]Country populations'!K78,'[2]Country populations'!V78)</f>
        <v>62961</v>
      </c>
      <c r="L77" s="40">
        <f>IF([2]Setup!$B$19=[2]Setup!$T$19,'[2]Country populations'!L78,'[2]Country populations'!W78)</f>
        <v>64305</v>
      </c>
      <c r="M77" s="40" t="str">
        <f t="shared" si="4"/>
        <v>Guatemala</v>
      </c>
      <c r="N77" s="40">
        <f>IF([2]Setup!$B$20=[2]Setup!$U$19,'[2]Country populations'!X78,'[2]Country populations'!AI78)</f>
        <v>2932</v>
      </c>
      <c r="O77" s="40">
        <f>IF([2]Setup!$B$20=[2]Setup!$U$19,'[2]Country populations'!Y78,'[2]Country populations'!AJ78)</f>
        <v>3024</v>
      </c>
      <c r="P77" s="40">
        <f>IF([2]Setup!$B$20=[2]Setup!$U$19,'[2]Country populations'!Z78,'[2]Country populations'!AK78)</f>
        <v>3107</v>
      </c>
      <c r="Q77" s="40">
        <f>IF([2]Setup!$B$20=[2]Setup!$U$19,'[2]Country populations'!AA78,'[2]Country populations'!AL78)</f>
        <v>3202</v>
      </c>
      <c r="R77" s="40">
        <f>IF([2]Setup!$B$20=[2]Setup!$U$19,'[2]Country populations'!AB78,'[2]Country populations'!AM78)</f>
        <v>3310</v>
      </c>
      <c r="S77" s="40">
        <f>IF([2]Setup!$B$20=[2]Setup!$U$19,'[2]Country populations'!AC78,'[2]Country populations'!AN78)</f>
        <v>3418</v>
      </c>
      <c r="T77" s="40">
        <f>IF([2]Setup!$B$20=[2]Setup!$U$19,'[2]Country populations'!AD78,'[2]Country populations'!AO78)</f>
        <v>3524</v>
      </c>
      <c r="U77" s="40">
        <f>IF([2]Setup!$B$20=[2]Setup!$U$19,'[2]Country populations'!AE78,'[2]Country populations'!AP78)</f>
        <v>3595</v>
      </c>
      <c r="V77" s="40">
        <f>IF([2]Setup!$B$20=[2]Setup!$U$19,'[2]Country populations'!AF78,'[2]Country populations'!AQ78)</f>
        <v>3634</v>
      </c>
      <c r="W77" s="40">
        <f>IF([2]Setup!$B$20=[2]Setup!$U$19,'[2]Country populations'!AG78,'[2]Country populations'!AR78)</f>
        <v>3668</v>
      </c>
      <c r="X77" s="40">
        <f>IF([2]Setup!$B$20=[2]Setup!$U$19,'[2]Country populations'!AH78,'[2]Country populations'!AS78)</f>
        <v>3684</v>
      </c>
      <c r="Y77" s="40" t="str">
        <f t="shared" si="5"/>
        <v>Guatemala</v>
      </c>
      <c r="Z77" s="40">
        <f>IF([2]Setup!$B$21=[2]Setup!$V$19,'[2]Country populations'!AT78,'[2]Country populations'!BE78)</f>
        <v>1659</v>
      </c>
      <c r="AA77" s="40">
        <f>IF([2]Setup!$B$21=[2]Setup!$V$19,'[2]Country populations'!AU78,'[2]Country populations'!BF78)</f>
        <v>1667</v>
      </c>
      <c r="AB77" s="40">
        <f>IF([2]Setup!$B$21=[2]Setup!$V$19,'[2]Country populations'!AV78,'[2]Country populations'!BG78)</f>
        <v>1663</v>
      </c>
      <c r="AC77" s="40">
        <f>IF([2]Setup!$B$21=[2]Setup!$V$19,'[2]Country populations'!AW78,'[2]Country populations'!BH78)</f>
        <v>1653</v>
      </c>
      <c r="AD77" s="40">
        <f>IF([2]Setup!$B$21=[2]Setup!$V$19,'[2]Country populations'!AX78,'[2]Country populations'!BI78)</f>
        <v>1643</v>
      </c>
      <c r="AE77" s="40">
        <f>IF([2]Setup!$B$21=[2]Setup!$V$19,'[2]Country populations'!AY78,'[2]Country populations'!BJ78)</f>
        <v>1638</v>
      </c>
      <c r="AF77" s="40">
        <f>IF([2]Setup!$B$21=[2]Setup!$V$19,'[2]Country populations'!AZ78,'[2]Country populations'!BK78)</f>
        <v>1633</v>
      </c>
      <c r="AG77" s="40">
        <f>IF([2]Setup!$B$21=[2]Setup!$V$19,'[2]Country populations'!BA78,'[2]Country populations'!BL78)</f>
        <v>1629</v>
      </c>
      <c r="AH77" s="40">
        <f>IF([2]Setup!$B$21=[2]Setup!$V$19,'[2]Country populations'!BB78,'[2]Country populations'!BM78)</f>
        <v>1628</v>
      </c>
      <c r="AI77" s="40">
        <f>IF([2]Setup!$B$21=[2]Setup!$V$19,'[2]Country populations'!BC78,'[2]Country populations'!BN78)</f>
        <v>1629</v>
      </c>
      <c r="AJ77" s="40">
        <f>IF([2]Setup!$B$21=[2]Setup!$V$19,'[2]Country populations'!BD78,'[2]Country populations'!BO78)</f>
        <v>1631</v>
      </c>
    </row>
    <row r="78" spans="1:36" x14ac:dyDescent="0.25">
      <c r="A78" t="str">
        <f>'[2]Country populations'!A79</f>
        <v>Guinea</v>
      </c>
      <c r="B78" s="40">
        <f>IF([2]Setup!$B$19=[2]Setup!$T$19,'[2]Country populations'!B79,'[2]Country populations'!M79)</f>
        <v>120998</v>
      </c>
      <c r="C78" s="40">
        <f>IF([2]Setup!$B$19=[2]Setup!$T$19,'[2]Country populations'!C79,'[2]Country populations'!N79)</f>
        <v>123845</v>
      </c>
      <c r="D78" s="40">
        <f>IF([2]Setup!$B$19=[2]Setup!$T$19,'[2]Country populations'!D79,'[2]Country populations'!O79)</f>
        <v>126793</v>
      </c>
      <c r="E78" s="40">
        <f>IF([2]Setup!$B$19=[2]Setup!$T$19,'[2]Country populations'!E79,'[2]Country populations'!P79)</f>
        <v>129654</v>
      </c>
      <c r="F78" s="40">
        <f>IF([2]Setup!$B$19=[2]Setup!$T$19,'[2]Country populations'!F79,'[2]Country populations'!Q79)</f>
        <v>132493</v>
      </c>
      <c r="G78" s="40">
        <f>IF([2]Setup!$B$19=[2]Setup!$T$19,'[2]Country populations'!G79,'[2]Country populations'!R79)</f>
        <v>135323</v>
      </c>
      <c r="H78" s="40">
        <f>IF([2]Setup!$B$19=[2]Setup!$T$19,'[2]Country populations'!H79,'[2]Country populations'!S79)</f>
        <v>138237</v>
      </c>
      <c r="I78" s="40">
        <f>IF([2]Setup!$B$19=[2]Setup!$T$19,'[2]Country populations'!I79,'[2]Country populations'!T79)</f>
        <v>141157</v>
      </c>
      <c r="J78" s="40">
        <f>IF([2]Setup!$B$19=[2]Setup!$T$19,'[2]Country populations'!J79,'[2]Country populations'!U79)</f>
        <v>144100</v>
      </c>
      <c r="K78" s="40">
        <f>IF([2]Setup!$B$19=[2]Setup!$T$19,'[2]Country populations'!K79,'[2]Country populations'!V79)</f>
        <v>147085</v>
      </c>
      <c r="L78" s="40">
        <f>IF([2]Setup!$B$19=[2]Setup!$T$19,'[2]Country populations'!L79,'[2]Country populations'!W79)</f>
        <v>150131</v>
      </c>
      <c r="M78" s="40" t="str">
        <f t="shared" si="4"/>
        <v>Guinea</v>
      </c>
      <c r="N78" s="40">
        <f>IF([2]Setup!$B$20=[2]Setup!$U$19,'[2]Country populations'!X79,'[2]Country populations'!AI79)</f>
        <v>13212</v>
      </c>
      <c r="O78" s="40">
        <f>IF([2]Setup!$B$20=[2]Setup!$U$19,'[2]Country populations'!Y79,'[2]Country populations'!AJ79)</f>
        <v>13911</v>
      </c>
      <c r="P78" s="40">
        <f>IF([2]Setup!$B$20=[2]Setup!$U$19,'[2]Country populations'!Z79,'[2]Country populations'!AK79)</f>
        <v>14273</v>
      </c>
      <c r="Q78" s="40">
        <f>IF([2]Setup!$B$20=[2]Setup!$U$19,'[2]Country populations'!AA79,'[2]Country populations'!AL79)</f>
        <v>14624</v>
      </c>
      <c r="R78" s="40">
        <f>IF([2]Setup!$B$20=[2]Setup!$U$19,'[2]Country populations'!AB79,'[2]Country populations'!AM79)</f>
        <v>14933</v>
      </c>
      <c r="S78" s="40">
        <f>IF([2]Setup!$B$20=[2]Setup!$U$19,'[2]Country populations'!AC79,'[2]Country populations'!AN79)</f>
        <v>15265</v>
      </c>
      <c r="T78" s="40">
        <f>IF([2]Setup!$B$20=[2]Setup!$U$19,'[2]Country populations'!AD79,'[2]Country populations'!AO79)</f>
        <v>15644</v>
      </c>
      <c r="U78" s="40">
        <f>IF([2]Setup!$B$20=[2]Setup!$U$19,'[2]Country populations'!AE79,'[2]Country populations'!AP79)</f>
        <v>15945</v>
      </c>
      <c r="V78" s="40">
        <f>IF([2]Setup!$B$20=[2]Setup!$U$19,'[2]Country populations'!AF79,'[2]Country populations'!AQ79)</f>
        <v>16071</v>
      </c>
      <c r="W78" s="40">
        <f>IF([2]Setup!$B$20=[2]Setup!$U$19,'[2]Country populations'!AG79,'[2]Country populations'!AR79)</f>
        <v>16081</v>
      </c>
      <c r="X78" s="40">
        <f>IF([2]Setup!$B$20=[2]Setup!$U$19,'[2]Country populations'!AH79,'[2]Country populations'!AS79)</f>
        <v>15980</v>
      </c>
      <c r="Y78" s="40" t="str">
        <f t="shared" si="5"/>
        <v>Guinea</v>
      </c>
      <c r="Z78" s="40">
        <f>IF([2]Setup!$B$21=[2]Setup!$V$19,'[2]Country populations'!AT79,'[2]Country populations'!BE79)</f>
        <v>7372</v>
      </c>
      <c r="AA78" s="40">
        <f>IF([2]Setup!$B$21=[2]Setup!$V$19,'[2]Country populations'!AU79,'[2]Country populations'!BF79)</f>
        <v>7347</v>
      </c>
      <c r="AB78" s="40">
        <f>IF([2]Setup!$B$21=[2]Setup!$V$19,'[2]Country populations'!AV79,'[2]Country populations'!BG79)</f>
        <v>7282</v>
      </c>
      <c r="AC78" s="40">
        <f>IF([2]Setup!$B$21=[2]Setup!$V$19,'[2]Country populations'!AW79,'[2]Country populations'!BH79)</f>
        <v>7186</v>
      </c>
      <c r="AD78" s="40">
        <f>IF([2]Setup!$B$21=[2]Setup!$V$19,'[2]Country populations'!AX79,'[2]Country populations'!BI79)</f>
        <v>7056</v>
      </c>
      <c r="AE78" s="40">
        <f>IF([2]Setup!$B$21=[2]Setup!$V$19,'[2]Country populations'!AY79,'[2]Country populations'!BJ79)</f>
        <v>6911</v>
      </c>
      <c r="AF78" s="40">
        <f>IF([2]Setup!$B$21=[2]Setup!$V$19,'[2]Country populations'!AZ79,'[2]Country populations'!BK79)</f>
        <v>6745</v>
      </c>
      <c r="AG78" s="40">
        <f>IF([2]Setup!$B$21=[2]Setup!$V$19,'[2]Country populations'!BA79,'[2]Country populations'!BL79)</f>
        <v>6564</v>
      </c>
      <c r="AH78" s="40">
        <f>IF([2]Setup!$B$21=[2]Setup!$V$19,'[2]Country populations'!BB79,'[2]Country populations'!BM79)</f>
        <v>6384</v>
      </c>
      <c r="AI78" s="40">
        <f>IF([2]Setup!$B$21=[2]Setup!$V$19,'[2]Country populations'!BC79,'[2]Country populations'!BN79)</f>
        <v>6212</v>
      </c>
      <c r="AJ78" s="40">
        <f>IF([2]Setup!$B$21=[2]Setup!$V$19,'[2]Country populations'!BD79,'[2]Country populations'!BO79)</f>
        <v>6051</v>
      </c>
    </row>
    <row r="79" spans="1:36" x14ac:dyDescent="0.25">
      <c r="A79" t="str">
        <f>'[2]Country populations'!A80</f>
        <v>Guinea-Bissau</v>
      </c>
      <c r="B79" s="40">
        <f>IF([2]Setup!$B$19=[2]Setup!$T$19,'[2]Country populations'!B80,'[2]Country populations'!M80)</f>
        <v>38547</v>
      </c>
      <c r="C79" s="40">
        <f>IF([2]Setup!$B$19=[2]Setup!$T$19,'[2]Country populations'!C80,'[2]Country populations'!N80)</f>
        <v>39030</v>
      </c>
      <c r="D79" s="40">
        <f>IF([2]Setup!$B$19=[2]Setup!$T$19,'[2]Country populations'!D80,'[2]Country populations'!O80)</f>
        <v>39624</v>
      </c>
      <c r="E79" s="40">
        <f>IF([2]Setup!$B$19=[2]Setup!$T$19,'[2]Country populations'!E80,'[2]Country populations'!P80)</f>
        <v>40295</v>
      </c>
      <c r="F79" s="40">
        <f>IF([2]Setup!$B$19=[2]Setup!$T$19,'[2]Country populations'!F80,'[2]Country populations'!Q80)</f>
        <v>41012</v>
      </c>
      <c r="G79" s="40">
        <f>IF([2]Setup!$B$19=[2]Setup!$T$19,'[2]Country populations'!G80,'[2]Country populations'!R80)</f>
        <v>41740</v>
      </c>
      <c r="H79" s="40">
        <f>IF([2]Setup!$B$19=[2]Setup!$T$19,'[2]Country populations'!H80,'[2]Country populations'!S80)</f>
        <v>42588</v>
      </c>
      <c r="I79" s="40">
        <f>IF([2]Setup!$B$19=[2]Setup!$T$19,'[2]Country populations'!I80,'[2]Country populations'!T80)</f>
        <v>43462</v>
      </c>
      <c r="J79" s="40">
        <f>IF([2]Setup!$B$19=[2]Setup!$T$19,'[2]Country populations'!J80,'[2]Country populations'!U80)</f>
        <v>44360</v>
      </c>
      <c r="K79" s="40">
        <f>IF([2]Setup!$B$19=[2]Setup!$T$19,'[2]Country populations'!K80,'[2]Country populations'!V80)</f>
        <v>45279</v>
      </c>
      <c r="L79" s="40">
        <f>IF([2]Setup!$B$19=[2]Setup!$T$19,'[2]Country populations'!L80,'[2]Country populations'!W80)</f>
        <v>46225</v>
      </c>
      <c r="M79" s="40" t="str">
        <f t="shared" si="4"/>
        <v>Guinea-Bissau</v>
      </c>
      <c r="N79" s="40">
        <f>IF([2]Setup!$B$20=[2]Setup!$U$19,'[2]Country populations'!X80,'[2]Country populations'!AI80)</f>
        <v>6163</v>
      </c>
      <c r="O79" s="40">
        <f>IF([2]Setup!$B$20=[2]Setup!$U$19,'[2]Country populations'!Y80,'[2]Country populations'!AJ80)</f>
        <v>6229</v>
      </c>
      <c r="P79" s="40">
        <f>IF([2]Setup!$B$20=[2]Setup!$U$19,'[2]Country populations'!Z80,'[2]Country populations'!AK80)</f>
        <v>6338</v>
      </c>
      <c r="Q79" s="40">
        <f>IF([2]Setup!$B$20=[2]Setup!$U$19,'[2]Country populations'!AA80,'[2]Country populations'!AL80)</f>
        <v>6467</v>
      </c>
      <c r="R79" s="40">
        <f>IF([2]Setup!$B$20=[2]Setup!$U$19,'[2]Country populations'!AB80,'[2]Country populations'!AM80)</f>
        <v>6625</v>
      </c>
      <c r="S79" s="40">
        <f>IF([2]Setup!$B$20=[2]Setup!$U$19,'[2]Country populations'!AC80,'[2]Country populations'!AN80)</f>
        <v>6840</v>
      </c>
      <c r="T79" s="40">
        <f>IF([2]Setup!$B$20=[2]Setup!$U$19,'[2]Country populations'!AD80,'[2]Country populations'!AO80)</f>
        <v>7232</v>
      </c>
      <c r="U79" s="40">
        <f>IF([2]Setup!$B$20=[2]Setup!$U$19,'[2]Country populations'!AE80,'[2]Country populations'!AP80)</f>
        <v>7659</v>
      </c>
      <c r="V79" s="40">
        <f>IF([2]Setup!$B$20=[2]Setup!$U$19,'[2]Country populations'!AF80,'[2]Country populations'!AQ80)</f>
        <v>8002</v>
      </c>
      <c r="W79" s="40">
        <f>IF([2]Setup!$B$20=[2]Setup!$U$19,'[2]Country populations'!AG80,'[2]Country populations'!AR80)</f>
        <v>8299</v>
      </c>
      <c r="X79" s="40">
        <f>IF([2]Setup!$B$20=[2]Setup!$U$19,'[2]Country populations'!AH80,'[2]Country populations'!AS80)</f>
        <v>8541</v>
      </c>
      <c r="Y79" s="40" t="str">
        <f t="shared" si="5"/>
        <v>Guinea-Bissau</v>
      </c>
      <c r="Z79" s="40">
        <f>IF([2]Setup!$B$21=[2]Setup!$V$19,'[2]Country populations'!AT80,'[2]Country populations'!BE80)</f>
        <v>2396</v>
      </c>
      <c r="AA79" s="40">
        <f>IF([2]Setup!$B$21=[2]Setup!$V$19,'[2]Country populations'!AU80,'[2]Country populations'!BF80)</f>
        <v>2357</v>
      </c>
      <c r="AB79" s="40">
        <f>IF([2]Setup!$B$21=[2]Setup!$V$19,'[2]Country populations'!AV80,'[2]Country populations'!BG80)</f>
        <v>2337</v>
      </c>
      <c r="AC79" s="40">
        <f>IF([2]Setup!$B$21=[2]Setup!$V$19,'[2]Country populations'!AW80,'[2]Country populations'!BH80)</f>
        <v>2323</v>
      </c>
      <c r="AD79" s="40">
        <f>IF([2]Setup!$B$21=[2]Setup!$V$19,'[2]Country populations'!AX80,'[2]Country populations'!BI80)</f>
        <v>2313</v>
      </c>
      <c r="AE79" s="40">
        <f>IF([2]Setup!$B$21=[2]Setup!$V$19,'[2]Country populations'!AY80,'[2]Country populations'!BJ80)</f>
        <v>2306</v>
      </c>
      <c r="AF79" s="40">
        <f>IF([2]Setup!$B$21=[2]Setup!$V$19,'[2]Country populations'!AZ80,'[2]Country populations'!BK80)</f>
        <v>2278</v>
      </c>
      <c r="AG79" s="40">
        <f>IF([2]Setup!$B$21=[2]Setup!$V$19,'[2]Country populations'!BA80,'[2]Country populations'!BL80)</f>
        <v>2227</v>
      </c>
      <c r="AH79" s="40">
        <f>IF([2]Setup!$B$21=[2]Setup!$V$19,'[2]Country populations'!BB80,'[2]Country populations'!BM80)</f>
        <v>2174</v>
      </c>
      <c r="AI79" s="40">
        <f>IF([2]Setup!$B$21=[2]Setup!$V$19,'[2]Country populations'!BC80,'[2]Country populations'!BN80)</f>
        <v>2120</v>
      </c>
      <c r="AJ79" s="40">
        <f>IF([2]Setup!$B$21=[2]Setup!$V$19,'[2]Country populations'!BD80,'[2]Country populations'!BO80)</f>
        <v>2068</v>
      </c>
    </row>
    <row r="80" spans="1:36" x14ac:dyDescent="0.25">
      <c r="A80" t="str">
        <f>'[2]Country populations'!A81</f>
        <v>Guyana</v>
      </c>
      <c r="B80" s="40">
        <f>IF([2]Setup!$B$19=[2]Setup!$T$19,'[2]Country populations'!B81,'[2]Country populations'!M81)</f>
        <v>8382</v>
      </c>
      <c r="C80" s="40">
        <f>IF([2]Setup!$B$19=[2]Setup!$T$19,'[2]Country populations'!C81,'[2]Country populations'!N81)</f>
        <v>8572</v>
      </c>
      <c r="D80" s="40">
        <f>IF([2]Setup!$B$19=[2]Setup!$T$19,'[2]Country populations'!D81,'[2]Country populations'!O81)</f>
        <v>8736</v>
      </c>
      <c r="E80" s="40">
        <f>IF([2]Setup!$B$19=[2]Setup!$T$19,'[2]Country populations'!E81,'[2]Country populations'!P81)</f>
        <v>8880</v>
      </c>
      <c r="F80" s="40">
        <f>IF([2]Setup!$B$19=[2]Setup!$T$19,'[2]Country populations'!F81,'[2]Country populations'!Q81)</f>
        <v>9007</v>
      </c>
      <c r="G80" s="40">
        <f>IF([2]Setup!$B$19=[2]Setup!$T$19,'[2]Country populations'!G81,'[2]Country populations'!R81)</f>
        <v>9121</v>
      </c>
      <c r="H80" s="40">
        <f>IF([2]Setup!$B$19=[2]Setup!$T$19,'[2]Country populations'!H81,'[2]Country populations'!S81)</f>
        <v>9235</v>
      </c>
      <c r="I80" s="40">
        <f>IF([2]Setup!$B$19=[2]Setup!$T$19,'[2]Country populations'!I81,'[2]Country populations'!T81)</f>
        <v>9356</v>
      </c>
      <c r="J80" s="40">
        <f>IF([2]Setup!$B$19=[2]Setup!$T$19,'[2]Country populations'!J81,'[2]Country populations'!U81)</f>
        <v>9479</v>
      </c>
      <c r="K80" s="40">
        <f>IF([2]Setup!$B$19=[2]Setup!$T$19,'[2]Country populations'!K81,'[2]Country populations'!V81)</f>
        <v>9600</v>
      </c>
      <c r="L80" s="40">
        <f>IF([2]Setup!$B$19=[2]Setup!$T$19,'[2]Country populations'!L81,'[2]Country populations'!W81)</f>
        <v>9706</v>
      </c>
      <c r="M80" s="40" t="str">
        <f t="shared" si="4"/>
        <v>Guyana</v>
      </c>
      <c r="N80" s="40">
        <f>IF([2]Setup!$B$20=[2]Setup!$U$19,'[2]Country populations'!X81,'[2]Country populations'!AI81)</f>
        <v>436</v>
      </c>
      <c r="O80" s="40">
        <f>IF([2]Setup!$B$20=[2]Setup!$U$19,'[2]Country populations'!Y81,'[2]Country populations'!AJ81)</f>
        <v>465</v>
      </c>
      <c r="P80" s="40">
        <f>IF([2]Setup!$B$20=[2]Setup!$U$19,'[2]Country populations'!Z81,'[2]Country populations'!AK81)</f>
        <v>474</v>
      </c>
      <c r="Q80" s="40">
        <f>IF([2]Setup!$B$20=[2]Setup!$U$19,'[2]Country populations'!AA81,'[2]Country populations'!AL81)</f>
        <v>484</v>
      </c>
      <c r="R80" s="40">
        <f>IF([2]Setup!$B$20=[2]Setup!$U$19,'[2]Country populations'!AB81,'[2]Country populations'!AM81)</f>
        <v>487</v>
      </c>
      <c r="S80" s="40">
        <f>IF([2]Setup!$B$20=[2]Setup!$U$19,'[2]Country populations'!AC81,'[2]Country populations'!AN81)</f>
        <v>485</v>
      </c>
      <c r="T80" s="40">
        <f>IF([2]Setup!$B$20=[2]Setup!$U$19,'[2]Country populations'!AD81,'[2]Country populations'!AO81)</f>
        <v>488</v>
      </c>
      <c r="U80" s="40">
        <f>IF([2]Setup!$B$20=[2]Setup!$U$19,'[2]Country populations'!AE81,'[2]Country populations'!AP81)</f>
        <v>489</v>
      </c>
      <c r="V80" s="40">
        <f>IF([2]Setup!$B$20=[2]Setup!$U$19,'[2]Country populations'!AF81,'[2]Country populations'!AQ81)</f>
        <v>486</v>
      </c>
      <c r="W80" s="40">
        <f>IF([2]Setup!$B$20=[2]Setup!$U$19,'[2]Country populations'!AG81,'[2]Country populations'!AR81)</f>
        <v>484</v>
      </c>
      <c r="X80" s="40">
        <f>IF([2]Setup!$B$20=[2]Setup!$U$19,'[2]Country populations'!AH81,'[2]Country populations'!AS81)</f>
        <v>494</v>
      </c>
      <c r="Y80" s="40" t="str">
        <f t="shared" si="5"/>
        <v>Guyana</v>
      </c>
      <c r="Z80" s="40">
        <f>IF([2]Setup!$B$21=[2]Setup!$V$19,'[2]Country populations'!AT81,'[2]Country populations'!BE81)</f>
        <v>189</v>
      </c>
      <c r="AA80" s="40">
        <f>IF([2]Setup!$B$21=[2]Setup!$V$19,'[2]Country populations'!AU81,'[2]Country populations'!BF81)</f>
        <v>184</v>
      </c>
      <c r="AB80" s="40">
        <f>IF([2]Setup!$B$21=[2]Setup!$V$19,'[2]Country populations'!AV81,'[2]Country populations'!BG81)</f>
        <v>179</v>
      </c>
      <c r="AC80" s="40">
        <f>IF([2]Setup!$B$21=[2]Setup!$V$19,'[2]Country populations'!AW81,'[2]Country populations'!BH81)</f>
        <v>173</v>
      </c>
      <c r="AD80" s="40">
        <f>IF([2]Setup!$B$21=[2]Setup!$V$19,'[2]Country populations'!AX81,'[2]Country populations'!BI81)</f>
        <v>167</v>
      </c>
      <c r="AE80" s="40">
        <f>IF([2]Setup!$B$21=[2]Setup!$V$19,'[2]Country populations'!AY81,'[2]Country populations'!BJ81)</f>
        <v>161</v>
      </c>
      <c r="AF80" s="40">
        <f>IF([2]Setup!$B$21=[2]Setup!$V$19,'[2]Country populations'!AZ81,'[2]Country populations'!BK81)</f>
        <v>156</v>
      </c>
      <c r="AG80" s="40">
        <f>IF([2]Setup!$B$21=[2]Setup!$V$19,'[2]Country populations'!BA81,'[2]Country populations'!BL81)</f>
        <v>152</v>
      </c>
      <c r="AH80" s="40">
        <f>IF([2]Setup!$B$21=[2]Setup!$V$19,'[2]Country populations'!BB81,'[2]Country populations'!BM81)</f>
        <v>148</v>
      </c>
      <c r="AI80" s="40">
        <f>IF([2]Setup!$B$21=[2]Setup!$V$19,'[2]Country populations'!BC81,'[2]Country populations'!BN81)</f>
        <v>145</v>
      </c>
      <c r="AJ80" s="40">
        <f>IF([2]Setup!$B$21=[2]Setup!$V$19,'[2]Country populations'!BD81,'[2]Country populations'!BO81)</f>
        <v>142</v>
      </c>
    </row>
    <row r="81" spans="1:36" x14ac:dyDescent="0.25">
      <c r="A81" t="str">
        <f>'[2]Country populations'!A82</f>
        <v>Haiti</v>
      </c>
      <c r="B81" s="40">
        <f>IF([2]Setup!$B$19=[2]Setup!$T$19,'[2]Country populations'!B82,'[2]Country populations'!M82)</f>
        <v>140526</v>
      </c>
      <c r="C81" s="40">
        <f>IF([2]Setup!$B$19=[2]Setup!$T$19,'[2]Country populations'!C82,'[2]Country populations'!N82)</f>
        <v>140678</v>
      </c>
      <c r="D81" s="40">
        <f>IF([2]Setup!$B$19=[2]Setup!$T$19,'[2]Country populations'!D82,'[2]Country populations'!O82)</f>
        <v>140819</v>
      </c>
      <c r="E81" s="40">
        <f>IF([2]Setup!$B$19=[2]Setup!$T$19,'[2]Country populations'!E82,'[2]Country populations'!P82)</f>
        <v>140955</v>
      </c>
      <c r="F81" s="40">
        <f>IF([2]Setup!$B$19=[2]Setup!$T$19,'[2]Country populations'!F82,'[2]Country populations'!Q82)</f>
        <v>141119</v>
      </c>
      <c r="G81" s="40">
        <f>IF([2]Setup!$B$19=[2]Setup!$T$19,'[2]Country populations'!G82,'[2]Country populations'!R82)</f>
        <v>141296</v>
      </c>
      <c r="H81" s="40">
        <f>IF([2]Setup!$B$19=[2]Setup!$T$19,'[2]Country populations'!H82,'[2]Country populations'!S82)</f>
        <v>141615</v>
      </c>
      <c r="I81" s="40">
        <f>IF([2]Setup!$B$19=[2]Setup!$T$19,'[2]Country populations'!I82,'[2]Country populations'!T82)</f>
        <v>141894</v>
      </c>
      <c r="J81" s="40">
        <f>IF([2]Setup!$B$19=[2]Setup!$T$19,'[2]Country populations'!J82,'[2]Country populations'!U82)</f>
        <v>142175</v>
      </c>
      <c r="K81" s="40">
        <f>IF([2]Setup!$B$19=[2]Setup!$T$19,'[2]Country populations'!K82,'[2]Country populations'!V82)</f>
        <v>142464</v>
      </c>
      <c r="L81" s="40">
        <f>IF([2]Setup!$B$19=[2]Setup!$T$19,'[2]Country populations'!L82,'[2]Country populations'!W82)</f>
        <v>142758</v>
      </c>
      <c r="M81" s="40" t="str">
        <f t="shared" si="4"/>
        <v>Haiti</v>
      </c>
      <c r="N81" s="40">
        <f>IF([2]Setup!$B$20=[2]Setup!$U$19,'[2]Country populations'!X82,'[2]Country populations'!AI82)</f>
        <v>12237</v>
      </c>
      <c r="O81" s="40">
        <f>IF([2]Setup!$B$20=[2]Setup!$U$19,'[2]Country populations'!Y82,'[2]Country populations'!AJ82)</f>
        <v>11230</v>
      </c>
      <c r="P81" s="40">
        <f>IF([2]Setup!$B$20=[2]Setup!$U$19,'[2]Country populations'!Z82,'[2]Country populations'!AK82)</f>
        <v>10384</v>
      </c>
      <c r="Q81" s="40">
        <f>IF([2]Setup!$B$20=[2]Setup!$U$19,'[2]Country populations'!AA82,'[2]Country populations'!AL82)</f>
        <v>9638</v>
      </c>
      <c r="R81" s="40">
        <f>IF([2]Setup!$B$20=[2]Setup!$U$19,'[2]Country populations'!AB82,'[2]Country populations'!AM82)</f>
        <v>9042</v>
      </c>
      <c r="S81" s="40">
        <f>IF([2]Setup!$B$20=[2]Setup!$U$19,'[2]Country populations'!AC82,'[2]Country populations'!AN82)</f>
        <v>8640</v>
      </c>
      <c r="T81" s="40">
        <f>IF([2]Setup!$B$20=[2]Setup!$U$19,'[2]Country populations'!AD82,'[2]Country populations'!AO82)</f>
        <v>8306</v>
      </c>
      <c r="U81" s="40">
        <f>IF([2]Setup!$B$20=[2]Setup!$U$19,'[2]Country populations'!AE82,'[2]Country populations'!AP82)</f>
        <v>7922</v>
      </c>
      <c r="V81" s="40">
        <f>IF([2]Setup!$B$20=[2]Setup!$U$19,'[2]Country populations'!AF82,'[2]Country populations'!AQ82)</f>
        <v>7422</v>
      </c>
      <c r="W81" s="40">
        <f>IF([2]Setup!$B$20=[2]Setup!$U$19,'[2]Country populations'!AG82,'[2]Country populations'!AR82)</f>
        <v>6823</v>
      </c>
      <c r="X81" s="40">
        <f>IF([2]Setup!$B$20=[2]Setup!$U$19,'[2]Country populations'!AH82,'[2]Country populations'!AS82)</f>
        <v>6182</v>
      </c>
      <c r="Y81" s="40" t="str">
        <f t="shared" si="5"/>
        <v>Haiti</v>
      </c>
      <c r="Z81" s="40">
        <f>IF([2]Setup!$B$21=[2]Setup!$V$19,'[2]Country populations'!AT82,'[2]Country populations'!BE82)</f>
        <v>6215</v>
      </c>
      <c r="AA81" s="40">
        <f>IF([2]Setup!$B$21=[2]Setup!$V$19,'[2]Country populations'!AU82,'[2]Country populations'!BF82)</f>
        <v>6013</v>
      </c>
      <c r="AB81" s="40">
        <f>IF([2]Setup!$B$21=[2]Setup!$V$19,'[2]Country populations'!AV82,'[2]Country populations'!BG82)</f>
        <v>5785</v>
      </c>
      <c r="AC81" s="40">
        <f>IF([2]Setup!$B$21=[2]Setup!$V$19,'[2]Country populations'!AW82,'[2]Country populations'!BH82)</f>
        <v>5552</v>
      </c>
      <c r="AD81" s="40">
        <f>IF([2]Setup!$B$21=[2]Setup!$V$19,'[2]Country populations'!AX82,'[2]Country populations'!BI82)</f>
        <v>5316</v>
      </c>
      <c r="AE81" s="40">
        <f>IF([2]Setup!$B$21=[2]Setup!$V$19,'[2]Country populations'!AY82,'[2]Country populations'!BJ82)</f>
        <v>5078</v>
      </c>
      <c r="AF81" s="40">
        <f>IF([2]Setup!$B$21=[2]Setup!$V$19,'[2]Country populations'!AZ82,'[2]Country populations'!BK82)</f>
        <v>4837</v>
      </c>
      <c r="AG81" s="40">
        <f>IF([2]Setup!$B$21=[2]Setup!$V$19,'[2]Country populations'!BA82,'[2]Country populations'!BL82)</f>
        <v>4595</v>
      </c>
      <c r="AH81" s="40">
        <f>IF([2]Setup!$B$21=[2]Setup!$V$19,'[2]Country populations'!BB82,'[2]Country populations'!BM82)</f>
        <v>4363</v>
      </c>
      <c r="AI81" s="40">
        <f>IF([2]Setup!$B$21=[2]Setup!$V$19,'[2]Country populations'!BC82,'[2]Country populations'!BN82)</f>
        <v>4142</v>
      </c>
      <c r="AJ81" s="40">
        <f>IF([2]Setup!$B$21=[2]Setup!$V$19,'[2]Country populations'!BD82,'[2]Country populations'!BO82)</f>
        <v>3932</v>
      </c>
    </row>
    <row r="82" spans="1:36" x14ac:dyDescent="0.25">
      <c r="A82" t="str">
        <f>'[2]Country populations'!A83</f>
        <v>Honduras</v>
      </c>
      <c r="B82" s="40">
        <f>IF([2]Setup!$B$19=[2]Setup!$T$19,'[2]Country populations'!B83,'[2]Country populations'!M83)</f>
        <v>22890</v>
      </c>
      <c r="C82" s="40">
        <f>IF([2]Setup!$B$19=[2]Setup!$T$19,'[2]Country populations'!C83,'[2]Country populations'!N83)</f>
        <v>22576</v>
      </c>
      <c r="D82" s="40">
        <f>IF([2]Setup!$B$19=[2]Setup!$T$19,'[2]Country populations'!D83,'[2]Country populations'!O83)</f>
        <v>22420</v>
      </c>
      <c r="E82" s="40">
        <f>IF([2]Setup!$B$19=[2]Setup!$T$19,'[2]Country populations'!E83,'[2]Country populations'!P83)</f>
        <v>22420</v>
      </c>
      <c r="F82" s="40">
        <f>IF([2]Setup!$B$19=[2]Setup!$T$19,'[2]Country populations'!F83,'[2]Country populations'!Q83)</f>
        <v>22552</v>
      </c>
      <c r="G82" s="40">
        <f>IF([2]Setup!$B$19=[2]Setup!$T$19,'[2]Country populations'!G83,'[2]Country populations'!R83)</f>
        <v>22793</v>
      </c>
      <c r="H82" s="40">
        <f>IF([2]Setup!$B$19=[2]Setup!$T$19,'[2]Country populations'!H83,'[2]Country populations'!S83)</f>
        <v>23046</v>
      </c>
      <c r="I82" s="40">
        <f>IF([2]Setup!$B$19=[2]Setup!$T$19,'[2]Country populations'!I83,'[2]Country populations'!T83)</f>
        <v>23282</v>
      </c>
      <c r="J82" s="40">
        <f>IF([2]Setup!$B$19=[2]Setup!$T$19,'[2]Country populations'!J83,'[2]Country populations'!U83)</f>
        <v>23504</v>
      </c>
      <c r="K82" s="40">
        <f>IF([2]Setup!$B$19=[2]Setup!$T$19,'[2]Country populations'!K83,'[2]Country populations'!V83)</f>
        <v>23714</v>
      </c>
      <c r="L82" s="40">
        <f>IF([2]Setup!$B$19=[2]Setup!$T$19,'[2]Country populations'!L83,'[2]Country populations'!W83)</f>
        <v>23912</v>
      </c>
      <c r="M82" s="40" t="str">
        <f t="shared" si="4"/>
        <v>Honduras</v>
      </c>
      <c r="N82" s="40">
        <f>IF([2]Setup!$B$20=[2]Setup!$U$19,'[2]Country populations'!X83,'[2]Country populations'!AI83)</f>
        <v>1347</v>
      </c>
      <c r="O82" s="40">
        <f>IF([2]Setup!$B$20=[2]Setup!$U$19,'[2]Country populations'!Y83,'[2]Country populations'!AJ83)</f>
        <v>1174</v>
      </c>
      <c r="P82" s="40">
        <f>IF([2]Setup!$B$20=[2]Setup!$U$19,'[2]Country populations'!Z83,'[2]Country populations'!AK83)</f>
        <v>1008</v>
      </c>
      <c r="Q82" s="40">
        <f>IF([2]Setup!$B$20=[2]Setup!$U$19,'[2]Country populations'!AA83,'[2]Country populations'!AL83)</f>
        <v>885</v>
      </c>
      <c r="R82" s="40">
        <f>IF([2]Setup!$B$20=[2]Setup!$U$19,'[2]Country populations'!AB83,'[2]Country populations'!AM83)</f>
        <v>764</v>
      </c>
      <c r="S82" s="40">
        <f>IF([2]Setup!$B$20=[2]Setup!$U$19,'[2]Country populations'!AC83,'[2]Country populations'!AN83)</f>
        <v>651</v>
      </c>
      <c r="T82" s="40">
        <f>IF([2]Setup!$B$20=[2]Setup!$U$19,'[2]Country populations'!AD83,'[2]Country populations'!AO83)</f>
        <v>557</v>
      </c>
      <c r="U82" s="40">
        <f>IF([2]Setup!$B$20=[2]Setup!$U$19,'[2]Country populations'!AE83,'[2]Country populations'!AP83)</f>
        <v>474</v>
      </c>
      <c r="V82" s="40">
        <f>IF([2]Setup!$B$20=[2]Setup!$U$19,'[2]Country populations'!AF83,'[2]Country populations'!AQ83)</f>
        <v>406</v>
      </c>
      <c r="W82" s="40">
        <f>IF([2]Setup!$B$20=[2]Setup!$U$19,'[2]Country populations'!AG83,'[2]Country populations'!AR83)</f>
        <v>352</v>
      </c>
      <c r="X82" s="40">
        <f>IF([2]Setup!$B$20=[2]Setup!$U$19,'[2]Country populations'!AH83,'[2]Country populations'!AS83)</f>
        <v>316</v>
      </c>
      <c r="Y82" s="40" t="str">
        <f t="shared" si="5"/>
        <v>Honduras</v>
      </c>
      <c r="Z82" s="40">
        <f>IF([2]Setup!$B$21=[2]Setup!$V$19,'[2]Country populations'!AT83,'[2]Country populations'!BE83)</f>
        <v>396</v>
      </c>
      <c r="AA82" s="40">
        <f>IF([2]Setup!$B$21=[2]Setup!$V$19,'[2]Country populations'!AU83,'[2]Country populations'!BF83)</f>
        <v>373</v>
      </c>
      <c r="AB82" s="40">
        <f>IF([2]Setup!$B$21=[2]Setup!$V$19,'[2]Country populations'!AV83,'[2]Country populations'!BG83)</f>
        <v>357</v>
      </c>
      <c r="AC82" s="40">
        <f>IF([2]Setup!$B$21=[2]Setup!$V$19,'[2]Country populations'!AW83,'[2]Country populations'!BH83)</f>
        <v>346</v>
      </c>
      <c r="AD82" s="40">
        <f>IF([2]Setup!$B$21=[2]Setup!$V$19,'[2]Country populations'!AX83,'[2]Country populations'!BI83)</f>
        <v>339</v>
      </c>
      <c r="AE82" s="40">
        <f>IF([2]Setup!$B$21=[2]Setup!$V$19,'[2]Country populations'!AY83,'[2]Country populations'!BJ83)</f>
        <v>336</v>
      </c>
      <c r="AF82" s="40">
        <f>IF([2]Setup!$B$21=[2]Setup!$V$19,'[2]Country populations'!AZ83,'[2]Country populations'!BK83)</f>
        <v>333</v>
      </c>
      <c r="AG82" s="40">
        <f>IF([2]Setup!$B$21=[2]Setup!$V$19,'[2]Country populations'!BA83,'[2]Country populations'!BL83)</f>
        <v>329</v>
      </c>
      <c r="AH82" s="40">
        <f>IF([2]Setup!$B$21=[2]Setup!$V$19,'[2]Country populations'!BB83,'[2]Country populations'!BM83)</f>
        <v>325</v>
      </c>
      <c r="AI82" s="40">
        <f>IF([2]Setup!$B$21=[2]Setup!$V$19,'[2]Country populations'!BC83,'[2]Country populations'!BN83)</f>
        <v>320</v>
      </c>
      <c r="AJ82" s="40">
        <f>IF([2]Setup!$B$21=[2]Setup!$V$19,'[2]Country populations'!BD83,'[2]Country populations'!BO83)</f>
        <v>316</v>
      </c>
    </row>
    <row r="83" spans="1:36" x14ac:dyDescent="0.25">
      <c r="A83" t="str">
        <f>'[2]Country populations'!A84</f>
        <v>Hungary</v>
      </c>
      <c r="B83" s="40">
        <f>IF([2]Setup!$B$19=[2]Setup!$T$19,'[2]Country populations'!B84,'[2]Country populations'!M84)</f>
        <v>3580</v>
      </c>
      <c r="C83" s="40">
        <f>IF([2]Setup!$B$19=[2]Setup!$T$19,'[2]Country populations'!C84,'[2]Country populations'!N84)</f>
        <v>3788</v>
      </c>
      <c r="D83" s="40">
        <f>IF([2]Setup!$B$19=[2]Setup!$T$19,'[2]Country populations'!D84,'[2]Country populations'!O84)</f>
        <v>3984</v>
      </c>
      <c r="E83" s="40">
        <f>IF([2]Setup!$B$19=[2]Setup!$T$19,'[2]Country populations'!E84,'[2]Country populations'!P84)</f>
        <v>4170</v>
      </c>
      <c r="F83" s="40">
        <f>IF([2]Setup!$B$19=[2]Setup!$T$19,'[2]Country populations'!F84,'[2]Country populations'!Q84)</f>
        <v>4344</v>
      </c>
      <c r="G83" s="40">
        <f>IF([2]Setup!$B$19=[2]Setup!$T$19,'[2]Country populations'!G84,'[2]Country populations'!R84)</f>
        <v>4507</v>
      </c>
      <c r="H83" s="40">
        <f>IF([2]Setup!$B$19=[2]Setup!$T$19,'[2]Country populations'!H84,'[2]Country populations'!S84)</f>
        <v>4657</v>
      </c>
      <c r="I83" s="40">
        <f>IF([2]Setup!$B$19=[2]Setup!$T$19,'[2]Country populations'!I84,'[2]Country populations'!T84)</f>
        <v>4794</v>
      </c>
      <c r="J83" s="40">
        <f>IF([2]Setup!$B$19=[2]Setup!$T$19,'[2]Country populations'!J84,'[2]Country populations'!U84)</f>
        <v>4920</v>
      </c>
      <c r="K83" s="40">
        <f>IF([2]Setup!$B$19=[2]Setup!$T$19,'[2]Country populations'!K84,'[2]Country populations'!V84)</f>
        <v>5033</v>
      </c>
      <c r="L83" s="40">
        <f>IF([2]Setup!$B$19=[2]Setup!$T$19,'[2]Country populations'!L84,'[2]Country populations'!W84)</f>
        <v>5134</v>
      </c>
      <c r="M83" s="40" t="str">
        <f t="shared" si="4"/>
        <v>Hungary</v>
      </c>
      <c r="N83" s="40">
        <f>IF([2]Setup!$B$20=[2]Setup!$U$19,'[2]Country populations'!X84,'[2]Country populations'!AI84)</f>
        <v>20</v>
      </c>
      <c r="O83" s="40">
        <f>IF([2]Setup!$B$20=[2]Setup!$U$19,'[2]Country populations'!Y84,'[2]Country populations'!AJ84)</f>
        <v>21</v>
      </c>
      <c r="P83" s="40">
        <f>IF([2]Setup!$B$20=[2]Setup!$U$19,'[2]Country populations'!Z84,'[2]Country populations'!AK84)</f>
        <v>22</v>
      </c>
      <c r="Q83" s="40">
        <f>IF([2]Setup!$B$20=[2]Setup!$U$19,'[2]Country populations'!AA84,'[2]Country populations'!AL84)</f>
        <v>23</v>
      </c>
      <c r="R83" s="40">
        <f>IF([2]Setup!$B$20=[2]Setup!$U$19,'[2]Country populations'!AB84,'[2]Country populations'!AM84)</f>
        <v>24</v>
      </c>
      <c r="S83" s="40">
        <f>IF([2]Setup!$B$20=[2]Setup!$U$19,'[2]Country populations'!AC84,'[2]Country populations'!AN84)</f>
        <v>25</v>
      </c>
      <c r="T83" s="40">
        <f>IF([2]Setup!$B$20=[2]Setup!$U$19,'[2]Country populations'!AD84,'[2]Country populations'!AO84)</f>
        <v>26</v>
      </c>
      <c r="U83" s="40">
        <f>IF([2]Setup!$B$20=[2]Setup!$U$19,'[2]Country populations'!AE84,'[2]Country populations'!AP84)</f>
        <v>26</v>
      </c>
      <c r="V83" s="40">
        <f>IF([2]Setup!$B$20=[2]Setup!$U$19,'[2]Country populations'!AF84,'[2]Country populations'!AQ84)</f>
        <v>26</v>
      </c>
      <c r="W83" s="40">
        <f>IF([2]Setup!$B$20=[2]Setup!$U$19,'[2]Country populations'!AG84,'[2]Country populations'!AR84)</f>
        <v>27</v>
      </c>
      <c r="X83" s="40">
        <f>IF([2]Setup!$B$20=[2]Setup!$U$19,'[2]Country populations'!AH84,'[2]Country populations'!AS84)</f>
        <v>27</v>
      </c>
      <c r="Y83" s="40" t="str">
        <f t="shared" si="5"/>
        <v>Hungary</v>
      </c>
      <c r="Z83" s="40">
        <f>IF([2]Setup!$B$21=[2]Setup!$V$19,'[2]Country populations'!AT84,'[2]Country populations'!BE84)</f>
        <v>9</v>
      </c>
      <c r="AA83" s="40">
        <f>IF([2]Setup!$B$21=[2]Setup!$V$19,'[2]Country populations'!AU84,'[2]Country populations'!BF84)</f>
        <v>9</v>
      </c>
      <c r="AB83" s="40">
        <f>IF([2]Setup!$B$21=[2]Setup!$V$19,'[2]Country populations'!AV84,'[2]Country populations'!BG84)</f>
        <v>10</v>
      </c>
      <c r="AC83" s="40">
        <f>IF([2]Setup!$B$21=[2]Setup!$V$19,'[2]Country populations'!AW84,'[2]Country populations'!BH84)</f>
        <v>10</v>
      </c>
      <c r="AD83" s="40">
        <f>IF([2]Setup!$B$21=[2]Setup!$V$19,'[2]Country populations'!AX84,'[2]Country populations'!BI84)</f>
        <v>10</v>
      </c>
      <c r="AE83" s="40">
        <f>IF([2]Setup!$B$21=[2]Setup!$V$19,'[2]Country populations'!AY84,'[2]Country populations'!BJ84)</f>
        <v>10</v>
      </c>
      <c r="AF83" s="40">
        <f>IF([2]Setup!$B$21=[2]Setup!$V$19,'[2]Country populations'!AZ84,'[2]Country populations'!BK84)</f>
        <v>11</v>
      </c>
      <c r="AG83" s="40">
        <f>IF([2]Setup!$B$21=[2]Setup!$V$19,'[2]Country populations'!BA84,'[2]Country populations'!BL84)</f>
        <v>11</v>
      </c>
      <c r="AH83" s="40">
        <f>IF([2]Setup!$B$21=[2]Setup!$V$19,'[2]Country populations'!BB84,'[2]Country populations'!BM84)</f>
        <v>11</v>
      </c>
      <c r="AI83" s="40">
        <f>IF([2]Setup!$B$21=[2]Setup!$V$19,'[2]Country populations'!BC84,'[2]Country populations'!BN84)</f>
        <v>11</v>
      </c>
      <c r="AJ83" s="40">
        <f>IF([2]Setup!$B$21=[2]Setup!$V$19,'[2]Country populations'!BD84,'[2]Country populations'!BO84)</f>
        <v>11</v>
      </c>
    </row>
    <row r="84" spans="1:36" x14ac:dyDescent="0.25">
      <c r="A84" t="str">
        <f>'[2]Country populations'!A85</f>
        <v>Iceland</v>
      </c>
      <c r="B84" s="40">
        <f>IF([2]Setup!$B$19=[2]Setup!$T$19,'[2]Country populations'!B85,'[2]Country populations'!M85)</f>
        <v>559</v>
      </c>
      <c r="C84" s="40">
        <f>IF([2]Setup!$B$19=[2]Setup!$T$19,'[2]Country populations'!C85,'[2]Country populations'!N85)</f>
        <v>576</v>
      </c>
      <c r="D84" s="40">
        <f>IF([2]Setup!$B$19=[2]Setup!$T$19,'[2]Country populations'!D85,'[2]Country populations'!O85)</f>
        <v>592</v>
      </c>
      <c r="E84" s="40">
        <f>IF([2]Setup!$B$19=[2]Setup!$T$19,'[2]Country populations'!E85,'[2]Country populations'!P85)</f>
        <v>608</v>
      </c>
      <c r="F84" s="40">
        <f>IF([2]Setup!$B$19=[2]Setup!$T$19,'[2]Country populations'!F85,'[2]Country populations'!Q85)</f>
        <v>624</v>
      </c>
      <c r="G84" s="40">
        <f>IF([2]Setup!$B$19=[2]Setup!$T$19,'[2]Country populations'!G85,'[2]Country populations'!R85)</f>
        <v>640</v>
      </c>
      <c r="H84" s="40">
        <f>IF([2]Setup!$B$19=[2]Setup!$T$19,'[2]Country populations'!H85,'[2]Country populations'!S85)</f>
        <v>655</v>
      </c>
      <c r="I84" s="40">
        <f>IF([2]Setup!$B$19=[2]Setup!$T$19,'[2]Country populations'!I85,'[2]Country populations'!T85)</f>
        <v>670</v>
      </c>
      <c r="J84" s="40">
        <f>IF([2]Setup!$B$19=[2]Setup!$T$19,'[2]Country populations'!J85,'[2]Country populations'!U85)</f>
        <v>686</v>
      </c>
      <c r="K84" s="40">
        <f>IF([2]Setup!$B$19=[2]Setup!$T$19,'[2]Country populations'!K85,'[2]Country populations'!V85)</f>
        <v>700</v>
      </c>
      <c r="L84" s="40">
        <f>IF([2]Setup!$B$19=[2]Setup!$T$19,'[2]Country populations'!L85,'[2]Country populations'!W85)</f>
        <v>715</v>
      </c>
      <c r="M84" s="40" t="str">
        <f t="shared" si="4"/>
        <v>Iceland</v>
      </c>
      <c r="N84" s="40">
        <f>IF([2]Setup!$B$20=[2]Setup!$U$19,'[2]Country populations'!X85,'[2]Country populations'!AI85)</f>
        <v>13</v>
      </c>
      <c r="O84" s="40">
        <f>IF([2]Setup!$B$20=[2]Setup!$U$19,'[2]Country populations'!Y85,'[2]Country populations'!AJ85)</f>
        <v>13</v>
      </c>
      <c r="P84" s="40">
        <f>IF([2]Setup!$B$20=[2]Setup!$U$19,'[2]Country populations'!Z85,'[2]Country populations'!AK85)</f>
        <v>13</v>
      </c>
      <c r="Q84" s="40">
        <f>IF([2]Setup!$B$20=[2]Setup!$U$19,'[2]Country populations'!AA85,'[2]Country populations'!AL85)</f>
        <v>13</v>
      </c>
      <c r="R84" s="40">
        <f>IF([2]Setup!$B$20=[2]Setup!$U$19,'[2]Country populations'!AB85,'[2]Country populations'!AM85)</f>
        <v>13</v>
      </c>
      <c r="S84" s="40">
        <f>IF([2]Setup!$B$20=[2]Setup!$U$19,'[2]Country populations'!AC85,'[2]Country populations'!AN85)</f>
        <v>13</v>
      </c>
      <c r="T84" s="40">
        <f>IF([2]Setup!$B$20=[2]Setup!$U$19,'[2]Country populations'!AD85,'[2]Country populations'!AO85)</f>
        <v>13</v>
      </c>
      <c r="U84" s="40">
        <f>IF([2]Setup!$B$20=[2]Setup!$U$19,'[2]Country populations'!AE85,'[2]Country populations'!AP85)</f>
        <v>13</v>
      </c>
      <c r="V84" s="40">
        <f>IF([2]Setup!$B$20=[2]Setup!$U$19,'[2]Country populations'!AF85,'[2]Country populations'!AQ85)</f>
        <v>13</v>
      </c>
      <c r="W84" s="40">
        <f>IF([2]Setup!$B$20=[2]Setup!$U$19,'[2]Country populations'!AG85,'[2]Country populations'!AR85)</f>
        <v>13</v>
      </c>
      <c r="X84" s="40">
        <f>IF([2]Setup!$B$20=[2]Setup!$U$19,'[2]Country populations'!AH85,'[2]Country populations'!AS85)</f>
        <v>13</v>
      </c>
      <c r="Y84" s="40" t="str">
        <f t="shared" si="5"/>
        <v>Iceland</v>
      </c>
      <c r="Z84" s="40">
        <f>IF([2]Setup!$B$21=[2]Setup!$V$19,'[2]Country populations'!AT85,'[2]Country populations'!BE85)</f>
        <v>5</v>
      </c>
      <c r="AA84" s="40">
        <f>IF([2]Setup!$B$21=[2]Setup!$V$19,'[2]Country populations'!AU85,'[2]Country populations'!BF85)</f>
        <v>5</v>
      </c>
      <c r="AB84" s="40">
        <f>IF([2]Setup!$B$21=[2]Setup!$V$19,'[2]Country populations'!AV85,'[2]Country populations'!BG85)</f>
        <v>5</v>
      </c>
      <c r="AC84" s="40">
        <f>IF([2]Setup!$B$21=[2]Setup!$V$19,'[2]Country populations'!AW85,'[2]Country populations'!BH85)</f>
        <v>5</v>
      </c>
      <c r="AD84" s="40">
        <f>IF([2]Setup!$B$21=[2]Setup!$V$19,'[2]Country populations'!AX85,'[2]Country populations'!BI85)</f>
        <v>5</v>
      </c>
      <c r="AE84" s="40">
        <f>IF([2]Setup!$B$21=[2]Setup!$V$19,'[2]Country populations'!AY85,'[2]Country populations'!BJ85)</f>
        <v>5</v>
      </c>
      <c r="AF84" s="40">
        <f>IF([2]Setup!$B$21=[2]Setup!$V$19,'[2]Country populations'!AZ85,'[2]Country populations'!BK85)</f>
        <v>5</v>
      </c>
      <c r="AG84" s="40">
        <f>IF([2]Setup!$B$21=[2]Setup!$V$19,'[2]Country populations'!BA85,'[2]Country populations'!BL85)</f>
        <v>5</v>
      </c>
      <c r="AH84" s="40">
        <f>IF([2]Setup!$B$21=[2]Setup!$V$19,'[2]Country populations'!BB85,'[2]Country populations'!BM85)</f>
        <v>5</v>
      </c>
      <c r="AI84" s="40">
        <f>IF([2]Setup!$B$21=[2]Setup!$V$19,'[2]Country populations'!BC85,'[2]Country populations'!BN85)</f>
        <v>5</v>
      </c>
      <c r="AJ84" s="40">
        <f>IF([2]Setup!$B$21=[2]Setup!$V$19,'[2]Country populations'!BD85,'[2]Country populations'!BO85)</f>
        <v>5</v>
      </c>
    </row>
    <row r="85" spans="1:36" x14ac:dyDescent="0.25">
      <c r="A85" t="str">
        <f>'[2]Country populations'!A86</f>
        <v>India</v>
      </c>
      <c r="B85" s="40">
        <f>IF([2]Setup!$B$19=[2]Setup!$T$19,'[2]Country populations'!B86,'[2]Country populations'!M86)</f>
        <v>2130420</v>
      </c>
      <c r="C85" s="40">
        <f>IF([2]Setup!$B$19=[2]Setup!$T$19,'[2]Country populations'!C86,'[2]Country populations'!N86)</f>
        <v>2169633</v>
      </c>
      <c r="D85" s="40">
        <f>IF([2]Setup!$B$19=[2]Setup!$T$19,'[2]Country populations'!D86,'[2]Country populations'!O86)</f>
        <v>2221279</v>
      </c>
      <c r="E85" s="40">
        <f>IF([2]Setup!$B$19=[2]Setup!$T$19,'[2]Country populations'!E86,'[2]Country populations'!P86)</f>
        <v>2271446</v>
      </c>
      <c r="F85" s="40">
        <f>IF([2]Setup!$B$19=[2]Setup!$T$19,'[2]Country populations'!F86,'[2]Country populations'!Q86)</f>
        <v>2318225</v>
      </c>
      <c r="G85" s="40">
        <f>IF([2]Setup!$B$19=[2]Setup!$T$19,'[2]Country populations'!G86,'[2]Country populations'!R86)</f>
        <v>2362145</v>
      </c>
      <c r="H85" s="40">
        <f>IF([2]Setup!$B$19=[2]Setup!$T$19,'[2]Country populations'!H86,'[2]Country populations'!S86)</f>
        <v>2403582</v>
      </c>
      <c r="I85" s="40">
        <f>IF([2]Setup!$B$19=[2]Setup!$T$19,'[2]Country populations'!I86,'[2]Country populations'!T86)</f>
        <v>2442600</v>
      </c>
      <c r="J85" s="40">
        <f>IF([2]Setup!$B$19=[2]Setup!$T$19,'[2]Country populations'!J86,'[2]Country populations'!U86)</f>
        <v>2479213</v>
      </c>
      <c r="K85" s="40">
        <f>IF([2]Setup!$B$19=[2]Setup!$T$19,'[2]Country populations'!K86,'[2]Country populations'!V86)</f>
        <v>2513618</v>
      </c>
      <c r="L85" s="40">
        <f>IF([2]Setup!$B$19=[2]Setup!$T$19,'[2]Country populations'!L86,'[2]Country populations'!W86)</f>
        <v>2545946</v>
      </c>
      <c r="M85" s="40" t="str">
        <f t="shared" si="4"/>
        <v>India</v>
      </c>
      <c r="N85" s="40">
        <f>IF([2]Setup!$B$20=[2]Setup!$U$19,'[2]Country populations'!X86,'[2]Country populations'!AI86)</f>
        <v>113638</v>
      </c>
      <c r="O85" s="40">
        <f>IF([2]Setup!$B$20=[2]Setup!$U$19,'[2]Country populations'!Y86,'[2]Country populations'!AJ86)</f>
        <v>109488</v>
      </c>
      <c r="P85" s="40">
        <f>IF([2]Setup!$B$20=[2]Setup!$U$19,'[2]Country populations'!Z86,'[2]Country populations'!AK86)</f>
        <v>105815</v>
      </c>
      <c r="Q85" s="40">
        <f>IF([2]Setup!$B$20=[2]Setup!$U$19,'[2]Country populations'!AA86,'[2]Country populations'!AL86)</f>
        <v>102374</v>
      </c>
      <c r="R85" s="40">
        <f>IF([2]Setup!$B$20=[2]Setup!$U$19,'[2]Country populations'!AB86,'[2]Country populations'!AM86)</f>
        <v>99658</v>
      </c>
      <c r="S85" s="40">
        <f>IF([2]Setup!$B$20=[2]Setup!$U$19,'[2]Country populations'!AC86,'[2]Country populations'!AN86)</f>
        <v>96797</v>
      </c>
      <c r="T85" s="40">
        <f>IF([2]Setup!$B$20=[2]Setup!$U$19,'[2]Country populations'!AD86,'[2]Country populations'!AO86)</f>
        <v>94070</v>
      </c>
      <c r="U85" s="40">
        <f>IF([2]Setup!$B$20=[2]Setup!$U$19,'[2]Country populations'!AE86,'[2]Country populations'!AP86)</f>
        <v>91547</v>
      </c>
      <c r="V85" s="40">
        <f>IF([2]Setup!$B$20=[2]Setup!$U$19,'[2]Country populations'!AF86,'[2]Country populations'!AQ86)</f>
        <v>89461</v>
      </c>
      <c r="W85" s="40">
        <f>IF([2]Setup!$B$20=[2]Setup!$U$19,'[2]Country populations'!AG86,'[2]Country populations'!AR86)</f>
        <v>87781</v>
      </c>
      <c r="X85" s="40">
        <f>IF([2]Setup!$B$20=[2]Setup!$U$19,'[2]Country populations'!AH86,'[2]Country populations'!AS86)</f>
        <v>86564</v>
      </c>
      <c r="Y85" s="40" t="str">
        <f t="shared" si="5"/>
        <v>India</v>
      </c>
      <c r="Z85" s="40">
        <f>IF([2]Setup!$B$21=[2]Setup!$V$19,'[2]Country populations'!AT86,'[2]Country populations'!BE86)</f>
        <v>29946</v>
      </c>
      <c r="AA85" s="40">
        <f>IF([2]Setup!$B$21=[2]Setup!$V$19,'[2]Country populations'!AU86,'[2]Country populations'!BF86)</f>
        <v>30090</v>
      </c>
      <c r="AB85" s="40">
        <f>IF([2]Setup!$B$21=[2]Setup!$V$19,'[2]Country populations'!AV86,'[2]Country populations'!BG86)</f>
        <v>30337</v>
      </c>
      <c r="AC85" s="40">
        <f>IF([2]Setup!$B$21=[2]Setup!$V$19,'[2]Country populations'!AW86,'[2]Country populations'!BH86)</f>
        <v>30318</v>
      </c>
      <c r="AD85" s="40">
        <f>IF([2]Setup!$B$21=[2]Setup!$V$19,'[2]Country populations'!AX86,'[2]Country populations'!BI86)</f>
        <v>30165</v>
      </c>
      <c r="AE85" s="40">
        <f>IF([2]Setup!$B$21=[2]Setup!$V$19,'[2]Country populations'!AY86,'[2]Country populations'!BJ86)</f>
        <v>29988</v>
      </c>
      <c r="AF85" s="40">
        <f>IF([2]Setup!$B$21=[2]Setup!$V$19,'[2]Country populations'!AZ86,'[2]Country populations'!BK86)</f>
        <v>29795</v>
      </c>
      <c r="AG85" s="40">
        <f>IF([2]Setup!$B$21=[2]Setup!$V$19,'[2]Country populations'!BA86,'[2]Country populations'!BL86)</f>
        <v>29587</v>
      </c>
      <c r="AH85" s="40">
        <f>IF([2]Setup!$B$21=[2]Setup!$V$19,'[2]Country populations'!BB86,'[2]Country populations'!BM86)</f>
        <v>29365</v>
      </c>
      <c r="AI85" s="40">
        <f>IF([2]Setup!$B$21=[2]Setup!$V$19,'[2]Country populations'!BC86,'[2]Country populations'!BN86)</f>
        <v>29135</v>
      </c>
      <c r="AJ85" s="40">
        <f>IF([2]Setup!$B$21=[2]Setup!$V$19,'[2]Country populations'!BD86,'[2]Country populations'!BO86)</f>
        <v>28910</v>
      </c>
    </row>
    <row r="86" spans="1:36" x14ac:dyDescent="0.25">
      <c r="A86" t="str">
        <f>'[2]Country populations'!A87</f>
        <v>Indonesia</v>
      </c>
      <c r="B86" s="40">
        <f>IF([2]Setup!$B$19=[2]Setup!$T$19,'[2]Country populations'!B87,'[2]Country populations'!M87)</f>
        <v>719003</v>
      </c>
      <c r="C86" s="40">
        <f>IF([2]Setup!$B$19=[2]Setup!$T$19,'[2]Country populations'!C87,'[2]Country populations'!N87)</f>
        <v>769149</v>
      </c>
      <c r="D86" s="40">
        <f>IF([2]Setup!$B$19=[2]Setup!$T$19,'[2]Country populations'!D87,'[2]Country populations'!O87)</f>
        <v>822640</v>
      </c>
      <c r="E86" s="40">
        <f>IF([2]Setup!$B$19=[2]Setup!$T$19,'[2]Country populations'!E87,'[2]Country populations'!P87)</f>
        <v>879546</v>
      </c>
      <c r="F86" s="40">
        <f>IF([2]Setup!$B$19=[2]Setup!$T$19,'[2]Country populations'!F87,'[2]Country populations'!Q87)</f>
        <v>940083</v>
      </c>
      <c r="G86" s="40">
        <f>IF([2]Setup!$B$19=[2]Setup!$T$19,'[2]Country populations'!G87,'[2]Country populations'!R87)</f>
        <v>1004199</v>
      </c>
      <c r="H86" s="40">
        <f>IF([2]Setup!$B$19=[2]Setup!$T$19,'[2]Country populations'!H87,'[2]Country populations'!S87)</f>
        <v>1064847</v>
      </c>
      <c r="I86" s="40">
        <f>IF([2]Setup!$B$19=[2]Setup!$T$19,'[2]Country populations'!I87,'[2]Country populations'!T87)</f>
        <v>1121765</v>
      </c>
      <c r="J86" s="40">
        <f>IF([2]Setup!$B$19=[2]Setup!$T$19,'[2]Country populations'!J87,'[2]Country populations'!U87)</f>
        <v>1174722</v>
      </c>
      <c r="K86" s="40">
        <f>IF([2]Setup!$B$19=[2]Setup!$T$19,'[2]Country populations'!K87,'[2]Country populations'!V87)</f>
        <v>1223511</v>
      </c>
      <c r="L86" s="40">
        <f>IF([2]Setup!$B$19=[2]Setup!$T$19,'[2]Country populations'!L87,'[2]Country populations'!W87)</f>
        <v>1268088</v>
      </c>
      <c r="M86" s="40" t="str">
        <f t="shared" si="4"/>
        <v>Indonesia</v>
      </c>
      <c r="N86" s="40">
        <f>IF([2]Setup!$B$20=[2]Setup!$U$19,'[2]Country populations'!X87,'[2]Country populations'!AI87)</f>
        <v>21421</v>
      </c>
      <c r="O86" s="40">
        <f>IF([2]Setup!$B$20=[2]Setup!$U$19,'[2]Country populations'!Y87,'[2]Country populations'!AJ87)</f>
        <v>22935</v>
      </c>
      <c r="P86" s="40">
        <f>IF([2]Setup!$B$20=[2]Setup!$U$19,'[2]Country populations'!Z87,'[2]Country populations'!AK87)</f>
        <v>24398</v>
      </c>
      <c r="Q86" s="40">
        <f>IF([2]Setup!$B$20=[2]Setup!$U$19,'[2]Country populations'!AA87,'[2]Country populations'!AL87)</f>
        <v>25792</v>
      </c>
      <c r="R86" s="40">
        <f>IF([2]Setup!$B$20=[2]Setup!$U$19,'[2]Country populations'!AB87,'[2]Country populations'!AM87)</f>
        <v>27096</v>
      </c>
      <c r="S86" s="40">
        <f>IF([2]Setup!$B$20=[2]Setup!$U$19,'[2]Country populations'!AC87,'[2]Country populations'!AN87)</f>
        <v>28307</v>
      </c>
      <c r="T86" s="40">
        <f>IF([2]Setup!$B$20=[2]Setup!$U$19,'[2]Country populations'!AD87,'[2]Country populations'!AO87)</f>
        <v>29374</v>
      </c>
      <c r="U86" s="40">
        <f>IF([2]Setup!$B$20=[2]Setup!$U$19,'[2]Country populations'!AE87,'[2]Country populations'!AP87)</f>
        <v>30287</v>
      </c>
      <c r="V86" s="40">
        <f>IF([2]Setup!$B$20=[2]Setup!$U$19,'[2]Country populations'!AF87,'[2]Country populations'!AQ87)</f>
        <v>31071</v>
      </c>
      <c r="W86" s="40">
        <f>IF([2]Setup!$B$20=[2]Setup!$U$19,'[2]Country populations'!AG87,'[2]Country populations'!AR87)</f>
        <v>31763</v>
      </c>
      <c r="X86" s="40">
        <f>IF([2]Setup!$B$20=[2]Setup!$U$19,'[2]Country populations'!AH87,'[2]Country populations'!AS87)</f>
        <v>32518</v>
      </c>
      <c r="Y86" s="40" t="str">
        <f t="shared" si="5"/>
        <v>Indonesia</v>
      </c>
      <c r="Z86" s="40">
        <f>IF([2]Setup!$B$21=[2]Setup!$V$19,'[2]Country populations'!AT87,'[2]Country populations'!BE87)</f>
        <v>12377</v>
      </c>
      <c r="AA86" s="40">
        <f>IF([2]Setup!$B$21=[2]Setup!$V$19,'[2]Country populations'!AU87,'[2]Country populations'!BF87)</f>
        <v>12776</v>
      </c>
      <c r="AB86" s="40">
        <f>IF([2]Setup!$B$21=[2]Setup!$V$19,'[2]Country populations'!AV87,'[2]Country populations'!BG87)</f>
        <v>13162</v>
      </c>
      <c r="AC86" s="40">
        <f>IF([2]Setup!$B$21=[2]Setup!$V$19,'[2]Country populations'!AW87,'[2]Country populations'!BH87)</f>
        <v>13553</v>
      </c>
      <c r="AD86" s="40">
        <f>IF([2]Setup!$B$21=[2]Setup!$V$19,'[2]Country populations'!AX87,'[2]Country populations'!BI87)</f>
        <v>13962</v>
      </c>
      <c r="AE86" s="40">
        <f>IF([2]Setup!$B$21=[2]Setup!$V$19,'[2]Country populations'!AY87,'[2]Country populations'!BJ87)</f>
        <v>14404</v>
      </c>
      <c r="AF86" s="40">
        <f>IF([2]Setup!$B$21=[2]Setup!$V$19,'[2]Country populations'!AZ87,'[2]Country populations'!BK87)</f>
        <v>14839</v>
      </c>
      <c r="AG86" s="40">
        <f>IF([2]Setup!$B$21=[2]Setup!$V$19,'[2]Country populations'!BA87,'[2]Country populations'!BL87)</f>
        <v>15225</v>
      </c>
      <c r="AH86" s="40">
        <f>IF([2]Setup!$B$21=[2]Setup!$V$19,'[2]Country populations'!BB87,'[2]Country populations'!BM87)</f>
        <v>15561</v>
      </c>
      <c r="AI86" s="40">
        <f>IF([2]Setup!$B$21=[2]Setup!$V$19,'[2]Country populations'!BC87,'[2]Country populations'!BN87)</f>
        <v>15825</v>
      </c>
      <c r="AJ86" s="40">
        <f>IF([2]Setup!$B$21=[2]Setup!$V$19,'[2]Country populations'!BD87,'[2]Country populations'!BO87)</f>
        <v>16022</v>
      </c>
    </row>
    <row r="87" spans="1:36" x14ac:dyDescent="0.25">
      <c r="A87" t="str">
        <f>'[2]Country populations'!A88</f>
        <v>Iran (Islamic Republic of)</v>
      </c>
      <c r="B87" s="40">
        <f>IF([2]Setup!$B$19=[2]Setup!$T$19,'[2]Country populations'!B88,'[2]Country populations'!M88)</f>
        <v>87081</v>
      </c>
      <c r="C87" s="40">
        <f>IF([2]Setup!$B$19=[2]Setup!$T$19,'[2]Country populations'!C88,'[2]Country populations'!N88)</f>
        <v>88395</v>
      </c>
      <c r="D87" s="40">
        <f>IF([2]Setup!$B$19=[2]Setup!$T$19,'[2]Country populations'!D88,'[2]Country populations'!O88)</f>
        <v>89271</v>
      </c>
      <c r="E87" s="40">
        <f>IF([2]Setup!$B$19=[2]Setup!$T$19,'[2]Country populations'!E88,'[2]Country populations'!P88)</f>
        <v>89960</v>
      </c>
      <c r="F87" s="40">
        <f>IF([2]Setup!$B$19=[2]Setup!$T$19,'[2]Country populations'!F88,'[2]Country populations'!Q88)</f>
        <v>90676</v>
      </c>
      <c r="G87" s="40">
        <f>IF([2]Setup!$B$19=[2]Setup!$T$19,'[2]Country populations'!G88,'[2]Country populations'!R88)</f>
        <v>91408</v>
      </c>
      <c r="H87" s="40">
        <f>IF([2]Setup!$B$19=[2]Setup!$T$19,'[2]Country populations'!H88,'[2]Country populations'!S88)</f>
        <v>91998</v>
      </c>
      <c r="I87" s="40">
        <f>IF([2]Setup!$B$19=[2]Setup!$T$19,'[2]Country populations'!I88,'[2]Country populations'!T88)</f>
        <v>92401</v>
      </c>
      <c r="J87" s="40">
        <f>IF([2]Setup!$B$19=[2]Setup!$T$19,'[2]Country populations'!J88,'[2]Country populations'!U88)</f>
        <v>92688</v>
      </c>
      <c r="K87" s="40">
        <f>IF([2]Setup!$B$19=[2]Setup!$T$19,'[2]Country populations'!K88,'[2]Country populations'!V88)</f>
        <v>92912</v>
      </c>
      <c r="L87" s="40">
        <f>IF([2]Setup!$B$19=[2]Setup!$T$19,'[2]Country populations'!L88,'[2]Country populations'!W88)</f>
        <v>93110</v>
      </c>
      <c r="M87" s="40" t="str">
        <f t="shared" si="4"/>
        <v>Iran (Islamic Republic of)</v>
      </c>
      <c r="N87" s="40">
        <f>IF([2]Setup!$B$20=[2]Setup!$U$19,'[2]Country populations'!X88,'[2]Country populations'!AI88)</f>
        <v>2384</v>
      </c>
      <c r="O87" s="40">
        <f>IF([2]Setup!$B$20=[2]Setup!$U$19,'[2]Country populations'!Y88,'[2]Country populations'!AJ88)</f>
        <v>2596</v>
      </c>
      <c r="P87" s="40">
        <f>IF([2]Setup!$B$20=[2]Setup!$U$19,'[2]Country populations'!Z88,'[2]Country populations'!AK88)</f>
        <v>2804</v>
      </c>
      <c r="Q87" s="40">
        <f>IF([2]Setup!$B$20=[2]Setup!$U$19,'[2]Country populations'!AA88,'[2]Country populations'!AL88)</f>
        <v>3013</v>
      </c>
      <c r="R87" s="40">
        <f>IF([2]Setup!$B$20=[2]Setup!$U$19,'[2]Country populations'!AB88,'[2]Country populations'!AM88)</f>
        <v>3235</v>
      </c>
      <c r="S87" s="40">
        <f>IF([2]Setup!$B$20=[2]Setup!$U$19,'[2]Country populations'!AC88,'[2]Country populations'!AN88)</f>
        <v>3473</v>
      </c>
      <c r="T87" s="40">
        <f>IF([2]Setup!$B$20=[2]Setup!$U$19,'[2]Country populations'!AD88,'[2]Country populations'!AO88)</f>
        <v>3772</v>
      </c>
      <c r="U87" s="40">
        <f>IF([2]Setup!$B$20=[2]Setup!$U$19,'[2]Country populations'!AE88,'[2]Country populations'!AP88)</f>
        <v>4064</v>
      </c>
      <c r="V87" s="40">
        <f>IF([2]Setup!$B$20=[2]Setup!$U$19,'[2]Country populations'!AF88,'[2]Country populations'!AQ88)</f>
        <v>4293</v>
      </c>
      <c r="W87" s="40">
        <f>IF([2]Setup!$B$20=[2]Setup!$U$19,'[2]Country populations'!AG88,'[2]Country populations'!AR88)</f>
        <v>4482</v>
      </c>
      <c r="X87" s="40">
        <f>IF([2]Setup!$B$20=[2]Setup!$U$19,'[2]Country populations'!AH88,'[2]Country populations'!AS88)</f>
        <v>4628</v>
      </c>
      <c r="Y87" s="40" t="str">
        <f t="shared" si="5"/>
        <v>Iran (Islamic Republic of)</v>
      </c>
      <c r="Z87" s="40">
        <f>IF([2]Setup!$B$21=[2]Setup!$V$19,'[2]Country populations'!AT88,'[2]Country populations'!BE88)</f>
        <v>1002</v>
      </c>
      <c r="AA87" s="40">
        <f>IF([2]Setup!$B$21=[2]Setup!$V$19,'[2]Country populations'!AU88,'[2]Country populations'!BF88)</f>
        <v>1008</v>
      </c>
      <c r="AB87" s="40">
        <f>IF([2]Setup!$B$21=[2]Setup!$V$19,'[2]Country populations'!AV88,'[2]Country populations'!BG88)</f>
        <v>1008</v>
      </c>
      <c r="AC87" s="40">
        <f>IF([2]Setup!$B$21=[2]Setup!$V$19,'[2]Country populations'!AW88,'[2]Country populations'!BH88)</f>
        <v>1010</v>
      </c>
      <c r="AD87" s="40">
        <f>IF([2]Setup!$B$21=[2]Setup!$V$19,'[2]Country populations'!AX88,'[2]Country populations'!BI88)</f>
        <v>1011</v>
      </c>
      <c r="AE87" s="40">
        <f>IF([2]Setup!$B$21=[2]Setup!$V$19,'[2]Country populations'!AY88,'[2]Country populations'!BJ88)</f>
        <v>1010</v>
      </c>
      <c r="AF87" s="40">
        <f>IF([2]Setup!$B$21=[2]Setup!$V$19,'[2]Country populations'!AZ88,'[2]Country populations'!BK88)</f>
        <v>1004</v>
      </c>
      <c r="AG87" s="40">
        <f>IF([2]Setup!$B$21=[2]Setup!$V$19,'[2]Country populations'!BA88,'[2]Country populations'!BL88)</f>
        <v>993</v>
      </c>
      <c r="AH87" s="40">
        <f>IF([2]Setup!$B$21=[2]Setup!$V$19,'[2]Country populations'!BB88,'[2]Country populations'!BM88)</f>
        <v>979</v>
      </c>
      <c r="AI87" s="40">
        <f>IF([2]Setup!$B$21=[2]Setup!$V$19,'[2]Country populations'!BC88,'[2]Country populations'!BN88)</f>
        <v>965</v>
      </c>
      <c r="AJ87" s="40">
        <f>IF([2]Setup!$B$21=[2]Setup!$V$19,'[2]Country populations'!BD88,'[2]Country populations'!BO88)</f>
        <v>950</v>
      </c>
    </row>
    <row r="88" spans="1:36" x14ac:dyDescent="0.25">
      <c r="A88" t="str">
        <f>'[2]Country populations'!A89</f>
        <v>Iraq</v>
      </c>
      <c r="B88" s="40">
        <f>IF([2]Setup!$B$19=[2]Setup!$T$19,'[2]Country populations'!B89,'[2]Country populations'!M89)</f>
        <v>0</v>
      </c>
      <c r="C88" s="40">
        <f>IF([2]Setup!$B$19=[2]Setup!$T$19,'[2]Country populations'!C89,'[2]Country populations'!N89)</f>
        <v>0</v>
      </c>
      <c r="D88" s="40">
        <f>IF([2]Setup!$B$19=[2]Setup!$T$19,'[2]Country populations'!D89,'[2]Country populations'!O89)</f>
        <v>0</v>
      </c>
      <c r="E88" s="40">
        <f>IF([2]Setup!$B$19=[2]Setup!$T$19,'[2]Country populations'!E89,'[2]Country populations'!P89)</f>
        <v>0</v>
      </c>
      <c r="F88" s="40">
        <f>IF([2]Setup!$B$19=[2]Setup!$T$19,'[2]Country populations'!F89,'[2]Country populations'!Q89)</f>
        <v>0</v>
      </c>
      <c r="G88" s="40">
        <f>IF([2]Setup!$B$19=[2]Setup!$T$19,'[2]Country populations'!G89,'[2]Country populations'!R89)</f>
        <v>0</v>
      </c>
      <c r="H88" s="40">
        <f>IF([2]Setup!$B$19=[2]Setup!$T$19,'[2]Country populations'!H89,'[2]Country populations'!S89)</f>
        <v>0</v>
      </c>
      <c r="I88" s="40">
        <f>IF([2]Setup!$B$19=[2]Setup!$T$19,'[2]Country populations'!I89,'[2]Country populations'!T89)</f>
        <v>0</v>
      </c>
      <c r="J88" s="40">
        <f>IF([2]Setup!$B$19=[2]Setup!$T$19,'[2]Country populations'!J89,'[2]Country populations'!U89)</f>
        <v>0</v>
      </c>
      <c r="K88" s="40">
        <f>IF([2]Setup!$B$19=[2]Setup!$T$19,'[2]Country populations'!K89,'[2]Country populations'!V89)</f>
        <v>0</v>
      </c>
      <c r="L88" s="40">
        <f>IF([2]Setup!$B$19=[2]Setup!$T$19,'[2]Country populations'!L89,'[2]Country populations'!W89)</f>
        <v>0</v>
      </c>
      <c r="M88" s="40" t="str">
        <f t="shared" si="4"/>
        <v>Iraq</v>
      </c>
      <c r="N88" s="40">
        <f>IF([2]Setup!$B$20=[2]Setup!$U$19,'[2]Country populations'!X89,'[2]Country populations'!AI89)</f>
        <v>0</v>
      </c>
      <c r="O88" s="40">
        <f>IF([2]Setup!$B$20=[2]Setup!$U$19,'[2]Country populations'!Y89,'[2]Country populations'!AJ89)</f>
        <v>0</v>
      </c>
      <c r="P88" s="40">
        <f>IF([2]Setup!$B$20=[2]Setup!$U$19,'[2]Country populations'!Z89,'[2]Country populations'!AK89)</f>
        <v>0</v>
      </c>
      <c r="Q88" s="40">
        <f>IF([2]Setup!$B$20=[2]Setup!$U$19,'[2]Country populations'!AA89,'[2]Country populations'!AL89)</f>
        <v>0</v>
      </c>
      <c r="R88" s="40">
        <f>IF([2]Setup!$B$20=[2]Setup!$U$19,'[2]Country populations'!AB89,'[2]Country populations'!AM89)</f>
        <v>0</v>
      </c>
      <c r="S88" s="40">
        <f>IF([2]Setup!$B$20=[2]Setup!$U$19,'[2]Country populations'!AC89,'[2]Country populations'!AN89)</f>
        <v>0</v>
      </c>
      <c r="T88" s="40">
        <f>IF([2]Setup!$B$20=[2]Setup!$U$19,'[2]Country populations'!AD89,'[2]Country populations'!AO89)</f>
        <v>0</v>
      </c>
      <c r="U88" s="40">
        <f>IF([2]Setup!$B$20=[2]Setup!$U$19,'[2]Country populations'!AE89,'[2]Country populations'!AP89)</f>
        <v>0</v>
      </c>
      <c r="V88" s="40">
        <f>IF([2]Setup!$B$20=[2]Setup!$U$19,'[2]Country populations'!AF89,'[2]Country populations'!AQ89)</f>
        <v>0</v>
      </c>
      <c r="W88" s="40">
        <f>IF([2]Setup!$B$20=[2]Setup!$U$19,'[2]Country populations'!AG89,'[2]Country populations'!AR89)</f>
        <v>0</v>
      </c>
      <c r="X88" s="40">
        <f>IF([2]Setup!$B$20=[2]Setup!$U$19,'[2]Country populations'!AH89,'[2]Country populations'!AS89)</f>
        <v>0</v>
      </c>
      <c r="Y88" s="40" t="str">
        <f t="shared" si="5"/>
        <v>Iraq</v>
      </c>
      <c r="Z88" s="40">
        <f>IF([2]Setup!$B$21=[2]Setup!$V$19,'[2]Country populations'!AT89,'[2]Country populations'!BE89)</f>
        <v>0</v>
      </c>
      <c r="AA88" s="40">
        <f>IF([2]Setup!$B$21=[2]Setup!$V$19,'[2]Country populations'!AU89,'[2]Country populations'!BF89)</f>
        <v>0</v>
      </c>
      <c r="AB88" s="40">
        <f>IF([2]Setup!$B$21=[2]Setup!$V$19,'[2]Country populations'!AV89,'[2]Country populations'!BG89)</f>
        <v>0</v>
      </c>
      <c r="AC88" s="40">
        <f>IF([2]Setup!$B$21=[2]Setup!$V$19,'[2]Country populations'!AW89,'[2]Country populations'!BH89)</f>
        <v>0</v>
      </c>
      <c r="AD88" s="40">
        <f>IF([2]Setup!$B$21=[2]Setup!$V$19,'[2]Country populations'!AX89,'[2]Country populations'!BI89)</f>
        <v>0</v>
      </c>
      <c r="AE88" s="40">
        <f>IF([2]Setup!$B$21=[2]Setup!$V$19,'[2]Country populations'!AY89,'[2]Country populations'!BJ89)</f>
        <v>0</v>
      </c>
      <c r="AF88" s="40">
        <f>IF([2]Setup!$B$21=[2]Setup!$V$19,'[2]Country populations'!AZ89,'[2]Country populations'!BK89)</f>
        <v>0</v>
      </c>
      <c r="AG88" s="40">
        <f>IF([2]Setup!$B$21=[2]Setup!$V$19,'[2]Country populations'!BA89,'[2]Country populations'!BL89)</f>
        <v>0</v>
      </c>
      <c r="AH88" s="40">
        <f>IF([2]Setup!$B$21=[2]Setup!$V$19,'[2]Country populations'!BB89,'[2]Country populations'!BM89)</f>
        <v>0</v>
      </c>
      <c r="AI88" s="40">
        <f>IF([2]Setup!$B$21=[2]Setup!$V$19,'[2]Country populations'!BC89,'[2]Country populations'!BN89)</f>
        <v>0</v>
      </c>
      <c r="AJ88" s="40">
        <f>IF([2]Setup!$B$21=[2]Setup!$V$19,'[2]Country populations'!BD89,'[2]Country populations'!BO89)</f>
        <v>0</v>
      </c>
    </row>
    <row r="89" spans="1:36" x14ac:dyDescent="0.25">
      <c r="A89" t="str">
        <f>'[2]Country populations'!A90</f>
        <v>Ireland</v>
      </c>
      <c r="B89" s="40">
        <f>IF([2]Setup!$B$19=[2]Setup!$T$19,'[2]Country populations'!B90,'[2]Country populations'!M90)</f>
        <v>8738</v>
      </c>
      <c r="C89" s="40">
        <f>IF([2]Setup!$B$19=[2]Setup!$T$19,'[2]Country populations'!C90,'[2]Country populations'!N90)</f>
        <v>9140</v>
      </c>
      <c r="D89" s="40">
        <f>IF([2]Setup!$B$19=[2]Setup!$T$19,'[2]Country populations'!D90,'[2]Country populations'!O90)</f>
        <v>9541</v>
      </c>
      <c r="E89" s="40">
        <f>IF([2]Setup!$B$19=[2]Setup!$T$19,'[2]Country populations'!E90,'[2]Country populations'!P90)</f>
        <v>9940</v>
      </c>
      <c r="F89" s="40">
        <f>IF([2]Setup!$B$19=[2]Setup!$T$19,'[2]Country populations'!F90,'[2]Country populations'!Q90)</f>
        <v>10338</v>
      </c>
      <c r="G89" s="40">
        <f>IF([2]Setup!$B$19=[2]Setup!$T$19,'[2]Country populations'!G90,'[2]Country populations'!R90)</f>
        <v>10735</v>
      </c>
      <c r="H89" s="40">
        <f>IF([2]Setup!$B$19=[2]Setup!$T$19,'[2]Country populations'!H90,'[2]Country populations'!S90)</f>
        <v>11131</v>
      </c>
      <c r="I89" s="40">
        <f>IF([2]Setup!$B$19=[2]Setup!$T$19,'[2]Country populations'!I90,'[2]Country populations'!T90)</f>
        <v>11525</v>
      </c>
      <c r="J89" s="40">
        <f>IF([2]Setup!$B$19=[2]Setup!$T$19,'[2]Country populations'!J90,'[2]Country populations'!U90)</f>
        <v>11919</v>
      </c>
      <c r="K89" s="40">
        <f>IF([2]Setup!$B$19=[2]Setup!$T$19,'[2]Country populations'!K90,'[2]Country populations'!V90)</f>
        <v>12310</v>
      </c>
      <c r="L89" s="40">
        <f>IF([2]Setup!$B$19=[2]Setup!$T$19,'[2]Country populations'!L90,'[2]Country populations'!W90)</f>
        <v>12699</v>
      </c>
      <c r="M89" s="40" t="str">
        <f t="shared" si="4"/>
        <v>Ireland</v>
      </c>
      <c r="N89" s="40">
        <f>IF([2]Setup!$B$20=[2]Setup!$U$19,'[2]Country populations'!X90,'[2]Country populations'!AI90)</f>
        <v>47</v>
      </c>
      <c r="O89" s="40">
        <f>IF([2]Setup!$B$20=[2]Setup!$U$19,'[2]Country populations'!Y90,'[2]Country populations'!AJ90)</f>
        <v>58</v>
      </c>
      <c r="P89" s="40">
        <f>IF([2]Setup!$B$20=[2]Setup!$U$19,'[2]Country populations'!Z90,'[2]Country populations'!AK90)</f>
        <v>69</v>
      </c>
      <c r="Q89" s="40">
        <f>IF([2]Setup!$B$20=[2]Setup!$U$19,'[2]Country populations'!AA90,'[2]Country populations'!AL90)</f>
        <v>79</v>
      </c>
      <c r="R89" s="40">
        <f>IF([2]Setup!$B$20=[2]Setup!$U$19,'[2]Country populations'!AB90,'[2]Country populations'!AM90)</f>
        <v>90</v>
      </c>
      <c r="S89" s="40">
        <f>IF([2]Setup!$B$20=[2]Setup!$U$19,'[2]Country populations'!AC90,'[2]Country populations'!AN90)</f>
        <v>98</v>
      </c>
      <c r="T89" s="40">
        <f>IF([2]Setup!$B$20=[2]Setup!$U$19,'[2]Country populations'!AD90,'[2]Country populations'!AO90)</f>
        <v>108</v>
      </c>
      <c r="U89" s="40">
        <f>IF([2]Setup!$B$20=[2]Setup!$U$19,'[2]Country populations'!AE90,'[2]Country populations'!AP90)</f>
        <v>118</v>
      </c>
      <c r="V89" s="40">
        <f>IF([2]Setup!$B$20=[2]Setup!$U$19,'[2]Country populations'!AF90,'[2]Country populations'!AQ90)</f>
        <v>127</v>
      </c>
      <c r="W89" s="40">
        <f>IF([2]Setup!$B$20=[2]Setup!$U$19,'[2]Country populations'!AG90,'[2]Country populations'!AR90)</f>
        <v>134</v>
      </c>
      <c r="X89" s="40">
        <f>IF([2]Setup!$B$20=[2]Setup!$U$19,'[2]Country populations'!AH90,'[2]Country populations'!AS90)</f>
        <v>141</v>
      </c>
      <c r="Y89" s="40" t="str">
        <f t="shared" si="5"/>
        <v>Ireland</v>
      </c>
      <c r="Z89" s="40">
        <f>IF([2]Setup!$B$21=[2]Setup!$V$19,'[2]Country populations'!AT90,'[2]Country populations'!BE90)</f>
        <v>100</v>
      </c>
      <c r="AA89" s="40">
        <f>IF([2]Setup!$B$21=[2]Setup!$V$19,'[2]Country populations'!AU90,'[2]Country populations'!BF90)</f>
        <v>101</v>
      </c>
      <c r="AB89" s="40">
        <f>IF([2]Setup!$B$21=[2]Setup!$V$19,'[2]Country populations'!AV90,'[2]Country populations'!BG90)</f>
        <v>102</v>
      </c>
      <c r="AC89" s="40">
        <f>IF([2]Setup!$B$21=[2]Setup!$V$19,'[2]Country populations'!AW90,'[2]Country populations'!BH90)</f>
        <v>102</v>
      </c>
      <c r="AD89" s="40">
        <f>IF([2]Setup!$B$21=[2]Setup!$V$19,'[2]Country populations'!AX90,'[2]Country populations'!BI90)</f>
        <v>102</v>
      </c>
      <c r="AE89" s="40">
        <f>IF([2]Setup!$B$21=[2]Setup!$V$19,'[2]Country populations'!AY90,'[2]Country populations'!BJ90)</f>
        <v>101</v>
      </c>
      <c r="AF89" s="40">
        <f>IF([2]Setup!$B$21=[2]Setup!$V$19,'[2]Country populations'!AZ90,'[2]Country populations'!BK90)</f>
        <v>101</v>
      </c>
      <c r="AG89" s="40">
        <f>IF([2]Setup!$B$21=[2]Setup!$V$19,'[2]Country populations'!BA90,'[2]Country populations'!BL90)</f>
        <v>100</v>
      </c>
      <c r="AH89" s="40">
        <f>IF([2]Setup!$B$21=[2]Setup!$V$19,'[2]Country populations'!BB90,'[2]Country populations'!BM90)</f>
        <v>99</v>
      </c>
      <c r="AI89" s="40">
        <f>IF([2]Setup!$B$21=[2]Setup!$V$19,'[2]Country populations'!BC90,'[2]Country populations'!BN90)</f>
        <v>98</v>
      </c>
      <c r="AJ89" s="40">
        <f>IF([2]Setup!$B$21=[2]Setup!$V$19,'[2]Country populations'!BD90,'[2]Country populations'!BO90)</f>
        <v>98</v>
      </c>
    </row>
    <row r="90" spans="1:36" x14ac:dyDescent="0.25">
      <c r="A90" t="str">
        <f>'[2]Country populations'!A91</f>
        <v>Israel</v>
      </c>
      <c r="B90" s="40">
        <f>IF([2]Setup!$B$19=[2]Setup!$T$19,'[2]Country populations'!B91,'[2]Country populations'!M91)</f>
        <v>10300</v>
      </c>
      <c r="C90" s="40">
        <f>IF([2]Setup!$B$19=[2]Setup!$T$19,'[2]Country populations'!C91,'[2]Country populations'!N91)</f>
        <v>10787</v>
      </c>
      <c r="D90" s="40">
        <f>IF([2]Setup!$B$19=[2]Setup!$T$19,'[2]Country populations'!D91,'[2]Country populations'!O91)</f>
        <v>11284</v>
      </c>
      <c r="E90" s="40">
        <f>IF([2]Setup!$B$19=[2]Setup!$T$19,'[2]Country populations'!E91,'[2]Country populations'!P91)</f>
        <v>11784</v>
      </c>
      <c r="F90" s="40">
        <f>IF([2]Setup!$B$19=[2]Setup!$T$19,'[2]Country populations'!F91,'[2]Country populations'!Q91)</f>
        <v>12287</v>
      </c>
      <c r="G90" s="40">
        <f>IF([2]Setup!$B$19=[2]Setup!$T$19,'[2]Country populations'!G91,'[2]Country populations'!R91)</f>
        <v>12789</v>
      </c>
      <c r="H90" s="40">
        <f>IF([2]Setup!$B$19=[2]Setup!$T$19,'[2]Country populations'!H91,'[2]Country populations'!S91)</f>
        <v>13296</v>
      </c>
      <c r="I90" s="40">
        <f>IF([2]Setup!$B$19=[2]Setup!$T$19,'[2]Country populations'!I91,'[2]Country populations'!T91)</f>
        <v>13806</v>
      </c>
      <c r="J90" s="40">
        <f>IF([2]Setup!$B$19=[2]Setup!$T$19,'[2]Country populations'!J91,'[2]Country populations'!U91)</f>
        <v>14321</v>
      </c>
      <c r="K90" s="40">
        <f>IF([2]Setup!$B$19=[2]Setup!$T$19,'[2]Country populations'!K91,'[2]Country populations'!V91)</f>
        <v>14840</v>
      </c>
      <c r="L90" s="40">
        <f>IF([2]Setup!$B$19=[2]Setup!$T$19,'[2]Country populations'!L91,'[2]Country populations'!W91)</f>
        <v>15365</v>
      </c>
      <c r="M90" s="40" t="str">
        <f t="shared" si="4"/>
        <v>Israel</v>
      </c>
      <c r="N90" s="40">
        <f>IF([2]Setup!$B$20=[2]Setup!$U$19,'[2]Country populations'!X91,'[2]Country populations'!AI91)</f>
        <v>133</v>
      </c>
      <c r="O90" s="40">
        <f>IF([2]Setup!$B$20=[2]Setup!$U$19,'[2]Country populations'!Y91,'[2]Country populations'!AJ91)</f>
        <v>167</v>
      </c>
      <c r="P90" s="40">
        <f>IF([2]Setup!$B$20=[2]Setup!$U$19,'[2]Country populations'!Z91,'[2]Country populations'!AK91)</f>
        <v>199</v>
      </c>
      <c r="Q90" s="40">
        <f>IF([2]Setup!$B$20=[2]Setup!$U$19,'[2]Country populations'!AA91,'[2]Country populations'!AL91)</f>
        <v>231</v>
      </c>
      <c r="R90" s="40">
        <f>IF([2]Setup!$B$20=[2]Setup!$U$19,'[2]Country populations'!AB91,'[2]Country populations'!AM91)</f>
        <v>262</v>
      </c>
      <c r="S90" s="40">
        <f>IF([2]Setup!$B$20=[2]Setup!$U$19,'[2]Country populations'!AC91,'[2]Country populations'!AN91)</f>
        <v>293</v>
      </c>
      <c r="T90" s="40">
        <f>IF([2]Setup!$B$20=[2]Setup!$U$19,'[2]Country populations'!AD91,'[2]Country populations'!AO91)</f>
        <v>323</v>
      </c>
      <c r="U90" s="40">
        <f>IF([2]Setup!$B$20=[2]Setup!$U$19,'[2]Country populations'!AE91,'[2]Country populations'!AP91)</f>
        <v>352</v>
      </c>
      <c r="V90" s="40">
        <f>IF([2]Setup!$B$20=[2]Setup!$U$19,'[2]Country populations'!AF91,'[2]Country populations'!AQ91)</f>
        <v>381</v>
      </c>
      <c r="W90" s="40">
        <f>IF([2]Setup!$B$20=[2]Setup!$U$19,'[2]Country populations'!AG91,'[2]Country populations'!AR91)</f>
        <v>408</v>
      </c>
      <c r="X90" s="40">
        <f>IF([2]Setup!$B$20=[2]Setup!$U$19,'[2]Country populations'!AH91,'[2]Country populations'!AS91)</f>
        <v>434</v>
      </c>
      <c r="Y90" s="40" t="str">
        <f t="shared" si="5"/>
        <v>Israel</v>
      </c>
      <c r="Z90" s="40">
        <f>IF([2]Setup!$B$21=[2]Setup!$V$19,'[2]Country populations'!AT91,'[2]Country populations'!BE91)</f>
        <v>159</v>
      </c>
      <c r="AA90" s="40">
        <f>IF([2]Setup!$B$21=[2]Setup!$V$19,'[2]Country populations'!AU91,'[2]Country populations'!BF91)</f>
        <v>161</v>
      </c>
      <c r="AB90" s="40">
        <f>IF([2]Setup!$B$21=[2]Setup!$V$19,'[2]Country populations'!AV91,'[2]Country populations'!BG91)</f>
        <v>162</v>
      </c>
      <c r="AC90" s="40">
        <f>IF([2]Setup!$B$21=[2]Setup!$V$19,'[2]Country populations'!AW91,'[2]Country populations'!BH91)</f>
        <v>163</v>
      </c>
      <c r="AD90" s="40">
        <f>IF([2]Setup!$B$21=[2]Setup!$V$19,'[2]Country populations'!AX91,'[2]Country populations'!BI91)</f>
        <v>164</v>
      </c>
      <c r="AE90" s="40">
        <f>IF([2]Setup!$B$21=[2]Setup!$V$19,'[2]Country populations'!AY91,'[2]Country populations'!BJ91)</f>
        <v>165</v>
      </c>
      <c r="AF90" s="40">
        <f>IF([2]Setup!$B$21=[2]Setup!$V$19,'[2]Country populations'!AZ91,'[2]Country populations'!BK91)</f>
        <v>165</v>
      </c>
      <c r="AG90" s="40">
        <f>IF([2]Setup!$B$21=[2]Setup!$V$19,'[2]Country populations'!BA91,'[2]Country populations'!BL91)</f>
        <v>166</v>
      </c>
      <c r="AH90" s="40">
        <f>IF([2]Setup!$B$21=[2]Setup!$V$19,'[2]Country populations'!BB91,'[2]Country populations'!BM91)</f>
        <v>167</v>
      </c>
      <c r="AI90" s="40">
        <f>IF([2]Setup!$B$21=[2]Setup!$V$19,'[2]Country populations'!BC91,'[2]Country populations'!BN91)</f>
        <v>167</v>
      </c>
      <c r="AJ90" s="40">
        <f>IF([2]Setup!$B$21=[2]Setup!$V$19,'[2]Country populations'!BD91,'[2]Country populations'!BO91)</f>
        <v>168</v>
      </c>
    </row>
    <row r="91" spans="1:36" x14ac:dyDescent="0.25">
      <c r="A91" t="str">
        <f>'[2]Country populations'!A92</f>
        <v>Italy</v>
      </c>
      <c r="B91" s="40">
        <f>IF([2]Setup!$B$19=[2]Setup!$T$19,'[2]Country populations'!B92,'[2]Country populations'!M92)</f>
        <v>157635</v>
      </c>
      <c r="C91" s="40">
        <f>IF([2]Setup!$B$19=[2]Setup!$T$19,'[2]Country populations'!C92,'[2]Country populations'!N92)</f>
        <v>159522</v>
      </c>
      <c r="D91" s="40">
        <f>IF([2]Setup!$B$19=[2]Setup!$T$19,'[2]Country populations'!D92,'[2]Country populations'!O92)</f>
        <v>161184</v>
      </c>
      <c r="E91" s="40">
        <f>IF([2]Setup!$B$19=[2]Setup!$T$19,'[2]Country populations'!E92,'[2]Country populations'!P92)</f>
        <v>162622</v>
      </c>
      <c r="F91" s="40">
        <f>IF([2]Setup!$B$19=[2]Setup!$T$19,'[2]Country populations'!F92,'[2]Country populations'!Q92)</f>
        <v>163841</v>
      </c>
      <c r="G91" s="40">
        <f>IF([2]Setup!$B$19=[2]Setup!$T$19,'[2]Country populations'!G92,'[2]Country populations'!R92)</f>
        <v>164864</v>
      </c>
      <c r="H91" s="40">
        <f>IF([2]Setup!$B$19=[2]Setup!$T$19,'[2]Country populations'!H92,'[2]Country populations'!S92)</f>
        <v>165792</v>
      </c>
      <c r="I91" s="40">
        <f>IF([2]Setup!$B$19=[2]Setup!$T$19,'[2]Country populations'!I92,'[2]Country populations'!T92)</f>
        <v>166630</v>
      </c>
      <c r="J91" s="40">
        <f>IF([2]Setup!$B$19=[2]Setup!$T$19,'[2]Country populations'!J92,'[2]Country populations'!U92)</f>
        <v>167382</v>
      </c>
      <c r="K91" s="40">
        <f>IF([2]Setup!$B$19=[2]Setup!$T$19,'[2]Country populations'!K92,'[2]Country populations'!V92)</f>
        <v>168057</v>
      </c>
      <c r="L91" s="40">
        <f>IF([2]Setup!$B$19=[2]Setup!$T$19,'[2]Country populations'!L92,'[2]Country populations'!W92)</f>
        <v>168650</v>
      </c>
      <c r="M91" s="40" t="str">
        <f t="shared" si="4"/>
        <v>Italy</v>
      </c>
      <c r="N91" s="40">
        <f>IF([2]Setup!$B$20=[2]Setup!$U$19,'[2]Country populations'!X92,'[2]Country populations'!AI92)</f>
        <v>635</v>
      </c>
      <c r="O91" s="40">
        <f>IF([2]Setup!$B$20=[2]Setup!$U$19,'[2]Country populations'!Y92,'[2]Country populations'!AJ92)</f>
        <v>692</v>
      </c>
      <c r="P91" s="40">
        <f>IF([2]Setup!$B$20=[2]Setup!$U$19,'[2]Country populations'!Z92,'[2]Country populations'!AK92)</f>
        <v>745</v>
      </c>
      <c r="Q91" s="40">
        <f>IF([2]Setup!$B$20=[2]Setup!$U$19,'[2]Country populations'!AA92,'[2]Country populations'!AL92)</f>
        <v>797</v>
      </c>
      <c r="R91" s="40">
        <f>IF([2]Setup!$B$20=[2]Setup!$U$19,'[2]Country populations'!AB92,'[2]Country populations'!AM92)</f>
        <v>843</v>
      </c>
      <c r="S91" s="40">
        <f>IF([2]Setup!$B$20=[2]Setup!$U$19,'[2]Country populations'!AC92,'[2]Country populations'!AN92)</f>
        <v>887</v>
      </c>
      <c r="T91" s="40">
        <f>IF([2]Setup!$B$20=[2]Setup!$U$19,'[2]Country populations'!AD92,'[2]Country populations'!AO92)</f>
        <v>927</v>
      </c>
      <c r="U91" s="40">
        <f>IF([2]Setup!$B$20=[2]Setup!$U$19,'[2]Country populations'!AE92,'[2]Country populations'!AP92)</f>
        <v>963</v>
      </c>
      <c r="V91" s="40">
        <f>IF([2]Setup!$B$20=[2]Setup!$U$19,'[2]Country populations'!AF92,'[2]Country populations'!AQ92)</f>
        <v>995</v>
      </c>
      <c r="W91" s="40">
        <f>IF([2]Setup!$B$20=[2]Setup!$U$19,'[2]Country populations'!AG92,'[2]Country populations'!AR92)</f>
        <v>1016</v>
      </c>
      <c r="X91" s="40">
        <f>IF([2]Setup!$B$20=[2]Setup!$U$19,'[2]Country populations'!AH92,'[2]Country populations'!AS92)</f>
        <v>1034</v>
      </c>
      <c r="Y91" s="40" t="str">
        <f t="shared" si="5"/>
        <v>Italy</v>
      </c>
      <c r="Z91" s="40">
        <f>IF([2]Setup!$B$21=[2]Setup!$V$19,'[2]Country populations'!AT92,'[2]Country populations'!BE92)</f>
        <v>289</v>
      </c>
      <c r="AA91" s="40">
        <f>IF([2]Setup!$B$21=[2]Setup!$V$19,'[2]Country populations'!AU92,'[2]Country populations'!BF92)</f>
        <v>280</v>
      </c>
      <c r="AB91" s="40">
        <f>IF([2]Setup!$B$21=[2]Setup!$V$19,'[2]Country populations'!AV92,'[2]Country populations'!BG92)</f>
        <v>271</v>
      </c>
      <c r="AC91" s="40">
        <f>IF([2]Setup!$B$21=[2]Setup!$V$19,'[2]Country populations'!AW92,'[2]Country populations'!BH92)</f>
        <v>263</v>
      </c>
      <c r="AD91" s="40">
        <f>IF([2]Setup!$B$21=[2]Setup!$V$19,'[2]Country populations'!AX92,'[2]Country populations'!BI92)</f>
        <v>254</v>
      </c>
      <c r="AE91" s="40">
        <f>IF([2]Setup!$B$21=[2]Setup!$V$19,'[2]Country populations'!AY92,'[2]Country populations'!BJ92)</f>
        <v>247</v>
      </c>
      <c r="AF91" s="40">
        <f>IF([2]Setup!$B$21=[2]Setup!$V$19,'[2]Country populations'!AZ92,'[2]Country populations'!BK92)</f>
        <v>240</v>
      </c>
      <c r="AG91" s="40">
        <f>IF([2]Setup!$B$21=[2]Setup!$V$19,'[2]Country populations'!BA92,'[2]Country populations'!BL92)</f>
        <v>233</v>
      </c>
      <c r="AH91" s="40">
        <f>IF([2]Setup!$B$21=[2]Setup!$V$19,'[2]Country populations'!BB92,'[2]Country populations'!BM92)</f>
        <v>227</v>
      </c>
      <c r="AI91" s="40">
        <f>IF([2]Setup!$B$21=[2]Setup!$V$19,'[2]Country populations'!BC92,'[2]Country populations'!BN92)</f>
        <v>222</v>
      </c>
      <c r="AJ91" s="40">
        <f>IF([2]Setup!$B$21=[2]Setup!$V$19,'[2]Country populations'!BD92,'[2]Country populations'!BO92)</f>
        <v>217</v>
      </c>
    </row>
    <row r="92" spans="1:36" x14ac:dyDescent="0.25">
      <c r="A92" t="str">
        <f>'[2]Country populations'!A93</f>
        <v>Jamaica</v>
      </c>
      <c r="B92" s="40">
        <f>IF([2]Setup!$B$19=[2]Setup!$T$19,'[2]Country populations'!B93,'[2]Country populations'!M93)</f>
        <v>32369</v>
      </c>
      <c r="C92" s="40">
        <f>IF([2]Setup!$B$19=[2]Setup!$T$19,'[2]Country populations'!C93,'[2]Country populations'!N93)</f>
        <v>32451</v>
      </c>
      <c r="D92" s="40">
        <f>IF([2]Setup!$B$19=[2]Setup!$T$19,'[2]Country populations'!D93,'[2]Country populations'!O93)</f>
        <v>32388</v>
      </c>
      <c r="E92" s="40">
        <f>IF([2]Setup!$B$19=[2]Setup!$T$19,'[2]Country populations'!E93,'[2]Country populations'!P93)</f>
        <v>32220</v>
      </c>
      <c r="F92" s="40">
        <f>IF([2]Setup!$B$19=[2]Setup!$T$19,'[2]Country populations'!F93,'[2]Country populations'!Q93)</f>
        <v>31971</v>
      </c>
      <c r="G92" s="40">
        <f>IF([2]Setup!$B$19=[2]Setup!$T$19,'[2]Country populations'!G93,'[2]Country populations'!R93)</f>
        <v>31657</v>
      </c>
      <c r="H92" s="40">
        <f>IF([2]Setup!$B$19=[2]Setup!$T$19,'[2]Country populations'!H93,'[2]Country populations'!S93)</f>
        <v>31303</v>
      </c>
      <c r="I92" s="40">
        <f>IF([2]Setup!$B$19=[2]Setup!$T$19,'[2]Country populations'!I93,'[2]Country populations'!T93)</f>
        <v>30911</v>
      </c>
      <c r="J92" s="40">
        <f>IF([2]Setup!$B$19=[2]Setup!$T$19,'[2]Country populations'!J93,'[2]Country populations'!U93)</f>
        <v>30492</v>
      </c>
      <c r="K92" s="40">
        <f>IF([2]Setup!$B$19=[2]Setup!$T$19,'[2]Country populations'!K93,'[2]Country populations'!V93)</f>
        <v>30070</v>
      </c>
      <c r="L92" s="40">
        <f>IF([2]Setup!$B$19=[2]Setup!$T$19,'[2]Country populations'!L93,'[2]Country populations'!W93)</f>
        <v>29647</v>
      </c>
      <c r="M92" s="40" t="str">
        <f t="shared" si="4"/>
        <v>Jamaica</v>
      </c>
      <c r="N92" s="40">
        <f>IF([2]Setup!$B$20=[2]Setup!$U$19,'[2]Country populations'!X93,'[2]Country populations'!AI93)</f>
        <v>1509</v>
      </c>
      <c r="O92" s="40">
        <f>IF([2]Setup!$B$20=[2]Setup!$U$19,'[2]Country populations'!Y93,'[2]Country populations'!AJ93)</f>
        <v>1439</v>
      </c>
      <c r="P92" s="40">
        <f>IF([2]Setup!$B$20=[2]Setup!$U$19,'[2]Country populations'!Z93,'[2]Country populations'!AK93)</f>
        <v>1365</v>
      </c>
      <c r="Q92" s="40">
        <f>IF([2]Setup!$B$20=[2]Setup!$U$19,'[2]Country populations'!AA93,'[2]Country populations'!AL93)</f>
        <v>1284</v>
      </c>
      <c r="R92" s="40">
        <f>IF([2]Setup!$B$20=[2]Setup!$U$19,'[2]Country populations'!AB93,'[2]Country populations'!AM93)</f>
        <v>1199</v>
      </c>
      <c r="S92" s="40">
        <f>IF([2]Setup!$B$20=[2]Setup!$U$19,'[2]Country populations'!AC93,'[2]Country populations'!AN93)</f>
        <v>1121</v>
      </c>
      <c r="T92" s="40">
        <f>IF([2]Setup!$B$20=[2]Setup!$U$19,'[2]Country populations'!AD93,'[2]Country populations'!AO93)</f>
        <v>1047</v>
      </c>
      <c r="U92" s="40">
        <f>IF([2]Setup!$B$20=[2]Setup!$U$19,'[2]Country populations'!AE93,'[2]Country populations'!AP93)</f>
        <v>979</v>
      </c>
      <c r="V92" s="40">
        <f>IF([2]Setup!$B$20=[2]Setup!$U$19,'[2]Country populations'!AF93,'[2]Country populations'!AQ93)</f>
        <v>915</v>
      </c>
      <c r="W92" s="40">
        <f>IF([2]Setup!$B$20=[2]Setup!$U$19,'[2]Country populations'!AG93,'[2]Country populations'!AR93)</f>
        <v>845</v>
      </c>
      <c r="X92" s="40">
        <f>IF([2]Setup!$B$20=[2]Setup!$U$19,'[2]Country populations'!AH93,'[2]Country populations'!AS93)</f>
        <v>774</v>
      </c>
      <c r="Y92" s="40" t="str">
        <f t="shared" si="5"/>
        <v>Jamaica</v>
      </c>
      <c r="Z92" s="40">
        <f>IF([2]Setup!$B$21=[2]Setup!$V$19,'[2]Country populations'!AT93,'[2]Country populations'!BE93)</f>
        <v>399</v>
      </c>
      <c r="AA92" s="40">
        <f>IF([2]Setup!$B$21=[2]Setup!$V$19,'[2]Country populations'!AU93,'[2]Country populations'!BF93)</f>
        <v>386</v>
      </c>
      <c r="AB92" s="40">
        <f>IF([2]Setup!$B$21=[2]Setup!$V$19,'[2]Country populations'!AV93,'[2]Country populations'!BG93)</f>
        <v>370</v>
      </c>
      <c r="AC92" s="40">
        <f>IF([2]Setup!$B$21=[2]Setup!$V$19,'[2]Country populations'!AW93,'[2]Country populations'!BH93)</f>
        <v>353</v>
      </c>
      <c r="AD92" s="40">
        <f>IF([2]Setup!$B$21=[2]Setup!$V$19,'[2]Country populations'!AX93,'[2]Country populations'!BI93)</f>
        <v>335</v>
      </c>
      <c r="AE92" s="40">
        <f>IF([2]Setup!$B$21=[2]Setup!$V$19,'[2]Country populations'!AY93,'[2]Country populations'!BJ93)</f>
        <v>318</v>
      </c>
      <c r="AF92" s="40">
        <f>IF([2]Setup!$B$21=[2]Setup!$V$19,'[2]Country populations'!AZ93,'[2]Country populations'!BK93)</f>
        <v>301</v>
      </c>
      <c r="AG92" s="40">
        <f>IF([2]Setup!$B$21=[2]Setup!$V$19,'[2]Country populations'!BA93,'[2]Country populations'!BL93)</f>
        <v>284</v>
      </c>
      <c r="AH92" s="40">
        <f>IF([2]Setup!$B$21=[2]Setup!$V$19,'[2]Country populations'!BB93,'[2]Country populations'!BM93)</f>
        <v>269</v>
      </c>
      <c r="AI92" s="40">
        <f>IF([2]Setup!$B$21=[2]Setup!$V$19,'[2]Country populations'!BC93,'[2]Country populations'!BN93)</f>
        <v>255</v>
      </c>
      <c r="AJ92" s="40">
        <f>IF([2]Setup!$B$21=[2]Setup!$V$19,'[2]Country populations'!BD93,'[2]Country populations'!BO93)</f>
        <v>242</v>
      </c>
    </row>
    <row r="93" spans="1:36" x14ac:dyDescent="0.25">
      <c r="A93" t="str">
        <f>'[2]Country populations'!A94</f>
        <v>Japan</v>
      </c>
      <c r="B93" s="40">
        <f>IF([2]Setup!$B$19=[2]Setup!$T$19,'[2]Country populations'!B94,'[2]Country populations'!M94)</f>
        <v>28835</v>
      </c>
      <c r="C93" s="40">
        <f>IF([2]Setup!$B$19=[2]Setup!$T$19,'[2]Country populations'!C94,'[2]Country populations'!N94)</f>
        <v>30152</v>
      </c>
      <c r="D93" s="40">
        <f>IF([2]Setup!$B$19=[2]Setup!$T$19,'[2]Country populations'!D94,'[2]Country populations'!O94)</f>
        <v>31435</v>
      </c>
      <c r="E93" s="40">
        <f>IF([2]Setup!$B$19=[2]Setup!$T$19,'[2]Country populations'!E94,'[2]Country populations'!P94)</f>
        <v>32682</v>
      </c>
      <c r="F93" s="40">
        <f>IF([2]Setup!$B$19=[2]Setup!$T$19,'[2]Country populations'!F94,'[2]Country populations'!Q94)</f>
        <v>33894</v>
      </c>
      <c r="G93" s="40">
        <f>IF([2]Setup!$B$19=[2]Setup!$T$19,'[2]Country populations'!G94,'[2]Country populations'!R94)</f>
        <v>35069</v>
      </c>
      <c r="H93" s="40">
        <f>IF([2]Setup!$B$19=[2]Setup!$T$19,'[2]Country populations'!H94,'[2]Country populations'!S94)</f>
        <v>36209</v>
      </c>
      <c r="I93" s="40">
        <f>IF([2]Setup!$B$19=[2]Setup!$T$19,'[2]Country populations'!I94,'[2]Country populations'!T94)</f>
        <v>37310</v>
      </c>
      <c r="J93" s="40">
        <f>IF([2]Setup!$B$19=[2]Setup!$T$19,'[2]Country populations'!J94,'[2]Country populations'!U94)</f>
        <v>38370</v>
      </c>
      <c r="K93" s="40">
        <f>IF([2]Setup!$B$19=[2]Setup!$T$19,'[2]Country populations'!K94,'[2]Country populations'!V94)</f>
        <v>39392</v>
      </c>
      <c r="L93" s="40">
        <f>IF([2]Setup!$B$19=[2]Setup!$T$19,'[2]Country populations'!L94,'[2]Country populations'!W94)</f>
        <v>40365</v>
      </c>
      <c r="M93" s="40" t="str">
        <f t="shared" si="4"/>
        <v>Japan</v>
      </c>
      <c r="N93" s="40">
        <f>IF([2]Setup!$B$20=[2]Setup!$U$19,'[2]Country populations'!X94,'[2]Country populations'!AI94)</f>
        <v>55</v>
      </c>
      <c r="O93" s="40">
        <f>IF([2]Setup!$B$20=[2]Setup!$U$19,'[2]Country populations'!Y94,'[2]Country populations'!AJ94)</f>
        <v>58</v>
      </c>
      <c r="P93" s="40">
        <f>IF([2]Setup!$B$20=[2]Setup!$U$19,'[2]Country populations'!Z94,'[2]Country populations'!AK94)</f>
        <v>61</v>
      </c>
      <c r="Q93" s="40">
        <f>IF([2]Setup!$B$20=[2]Setup!$U$19,'[2]Country populations'!AA94,'[2]Country populations'!AL94)</f>
        <v>63</v>
      </c>
      <c r="R93" s="40">
        <f>IF([2]Setup!$B$20=[2]Setup!$U$19,'[2]Country populations'!AB94,'[2]Country populations'!AM94)</f>
        <v>65</v>
      </c>
      <c r="S93" s="40">
        <f>IF([2]Setup!$B$20=[2]Setup!$U$19,'[2]Country populations'!AC94,'[2]Country populations'!AN94)</f>
        <v>68</v>
      </c>
      <c r="T93" s="40">
        <f>IF([2]Setup!$B$20=[2]Setup!$U$19,'[2]Country populations'!AD94,'[2]Country populations'!AO94)</f>
        <v>70</v>
      </c>
      <c r="U93" s="40">
        <f>IF([2]Setup!$B$20=[2]Setup!$U$19,'[2]Country populations'!AE94,'[2]Country populations'!AP94)</f>
        <v>72</v>
      </c>
      <c r="V93" s="40">
        <f>IF([2]Setup!$B$20=[2]Setup!$U$19,'[2]Country populations'!AF94,'[2]Country populations'!AQ94)</f>
        <v>74</v>
      </c>
      <c r="W93" s="40">
        <f>IF([2]Setup!$B$20=[2]Setup!$U$19,'[2]Country populations'!AG94,'[2]Country populations'!AR94)</f>
        <v>72</v>
      </c>
      <c r="X93" s="40">
        <f>IF([2]Setup!$B$20=[2]Setup!$U$19,'[2]Country populations'!AH94,'[2]Country populations'!AS94)</f>
        <v>74</v>
      </c>
      <c r="Y93" s="40" t="str">
        <f t="shared" si="5"/>
        <v>Japan</v>
      </c>
      <c r="Z93" s="40">
        <f>IF([2]Setup!$B$21=[2]Setup!$V$19,'[2]Country populations'!AT94,'[2]Country populations'!BE94)</f>
        <v>103</v>
      </c>
      <c r="AA93" s="40">
        <f>IF([2]Setup!$B$21=[2]Setup!$V$19,'[2]Country populations'!AU94,'[2]Country populations'!BF94)</f>
        <v>105</v>
      </c>
      <c r="AB93" s="40">
        <f>IF([2]Setup!$B$21=[2]Setup!$V$19,'[2]Country populations'!AV94,'[2]Country populations'!BG94)</f>
        <v>107</v>
      </c>
      <c r="AC93" s="40">
        <f>IF([2]Setup!$B$21=[2]Setup!$V$19,'[2]Country populations'!AW94,'[2]Country populations'!BH94)</f>
        <v>109</v>
      </c>
      <c r="AD93" s="40">
        <f>IF([2]Setup!$B$21=[2]Setup!$V$19,'[2]Country populations'!AX94,'[2]Country populations'!BI94)</f>
        <v>110</v>
      </c>
      <c r="AE93" s="40">
        <f>IF([2]Setup!$B$21=[2]Setup!$V$19,'[2]Country populations'!AY94,'[2]Country populations'!BJ94)</f>
        <v>111</v>
      </c>
      <c r="AF93" s="40">
        <f>IF([2]Setup!$B$21=[2]Setup!$V$19,'[2]Country populations'!AZ94,'[2]Country populations'!BK94)</f>
        <v>112</v>
      </c>
      <c r="AG93" s="40">
        <f>IF([2]Setup!$B$21=[2]Setup!$V$19,'[2]Country populations'!BA94,'[2]Country populations'!BL94)</f>
        <v>112</v>
      </c>
      <c r="AH93" s="40">
        <f>IF([2]Setup!$B$21=[2]Setup!$V$19,'[2]Country populations'!BB94,'[2]Country populations'!BM94)</f>
        <v>113</v>
      </c>
      <c r="AI93" s="40">
        <f>IF([2]Setup!$B$21=[2]Setup!$V$19,'[2]Country populations'!BC94,'[2]Country populations'!BN94)</f>
        <v>113</v>
      </c>
      <c r="AJ93" s="40">
        <f>IF([2]Setup!$B$21=[2]Setup!$V$19,'[2]Country populations'!BD94,'[2]Country populations'!BO94)</f>
        <v>113</v>
      </c>
    </row>
    <row r="94" spans="1:36" x14ac:dyDescent="0.25">
      <c r="A94" t="str">
        <f>'[2]Country populations'!A95</f>
        <v>Jordan</v>
      </c>
      <c r="B94" s="40">
        <f>IF([2]Setup!$B$19=[2]Setup!$T$19,'[2]Country populations'!B95,'[2]Country populations'!M95)</f>
        <v>0</v>
      </c>
      <c r="C94" s="40">
        <f>IF([2]Setup!$B$19=[2]Setup!$T$19,'[2]Country populations'!C95,'[2]Country populations'!N95)</f>
        <v>0</v>
      </c>
      <c r="D94" s="40">
        <f>IF([2]Setup!$B$19=[2]Setup!$T$19,'[2]Country populations'!D95,'[2]Country populations'!O95)</f>
        <v>0</v>
      </c>
      <c r="E94" s="40">
        <f>IF([2]Setup!$B$19=[2]Setup!$T$19,'[2]Country populations'!E95,'[2]Country populations'!P95)</f>
        <v>0</v>
      </c>
      <c r="F94" s="40">
        <f>IF([2]Setup!$B$19=[2]Setup!$T$19,'[2]Country populations'!F95,'[2]Country populations'!Q95)</f>
        <v>0</v>
      </c>
      <c r="G94" s="40">
        <f>IF([2]Setup!$B$19=[2]Setup!$T$19,'[2]Country populations'!G95,'[2]Country populations'!R95)</f>
        <v>0</v>
      </c>
      <c r="H94" s="40">
        <f>IF([2]Setup!$B$19=[2]Setup!$T$19,'[2]Country populations'!H95,'[2]Country populations'!S95)</f>
        <v>0</v>
      </c>
      <c r="I94" s="40">
        <f>IF([2]Setup!$B$19=[2]Setup!$T$19,'[2]Country populations'!I95,'[2]Country populations'!T95)</f>
        <v>0</v>
      </c>
      <c r="J94" s="40">
        <f>IF([2]Setup!$B$19=[2]Setup!$T$19,'[2]Country populations'!J95,'[2]Country populations'!U95)</f>
        <v>0</v>
      </c>
      <c r="K94" s="40">
        <f>IF([2]Setup!$B$19=[2]Setup!$T$19,'[2]Country populations'!K95,'[2]Country populations'!V95)</f>
        <v>0</v>
      </c>
      <c r="L94" s="40">
        <f>IF([2]Setup!$B$19=[2]Setup!$T$19,'[2]Country populations'!L95,'[2]Country populations'!W95)</f>
        <v>0</v>
      </c>
      <c r="M94" s="40" t="str">
        <f t="shared" si="4"/>
        <v>Jordan</v>
      </c>
      <c r="N94" s="40">
        <f>IF([2]Setup!$B$20=[2]Setup!$U$19,'[2]Country populations'!X95,'[2]Country populations'!AI95)</f>
        <v>0</v>
      </c>
      <c r="O94" s="40">
        <f>IF([2]Setup!$B$20=[2]Setup!$U$19,'[2]Country populations'!Y95,'[2]Country populations'!AJ95)</f>
        <v>0</v>
      </c>
      <c r="P94" s="40">
        <f>IF([2]Setup!$B$20=[2]Setup!$U$19,'[2]Country populations'!Z95,'[2]Country populations'!AK95)</f>
        <v>0</v>
      </c>
      <c r="Q94" s="40">
        <f>IF([2]Setup!$B$20=[2]Setup!$U$19,'[2]Country populations'!AA95,'[2]Country populations'!AL95)</f>
        <v>0</v>
      </c>
      <c r="R94" s="40">
        <f>IF([2]Setup!$B$20=[2]Setup!$U$19,'[2]Country populations'!AB95,'[2]Country populations'!AM95)</f>
        <v>0</v>
      </c>
      <c r="S94" s="40">
        <f>IF([2]Setup!$B$20=[2]Setup!$U$19,'[2]Country populations'!AC95,'[2]Country populations'!AN95)</f>
        <v>0</v>
      </c>
      <c r="T94" s="40">
        <f>IF([2]Setup!$B$20=[2]Setup!$U$19,'[2]Country populations'!AD95,'[2]Country populations'!AO95)</f>
        <v>0</v>
      </c>
      <c r="U94" s="40">
        <f>IF([2]Setup!$B$20=[2]Setup!$U$19,'[2]Country populations'!AE95,'[2]Country populations'!AP95)</f>
        <v>0</v>
      </c>
      <c r="V94" s="40">
        <f>IF([2]Setup!$B$20=[2]Setup!$U$19,'[2]Country populations'!AF95,'[2]Country populations'!AQ95)</f>
        <v>0</v>
      </c>
      <c r="W94" s="40">
        <f>IF([2]Setup!$B$20=[2]Setup!$U$19,'[2]Country populations'!AG95,'[2]Country populations'!AR95)</f>
        <v>0</v>
      </c>
      <c r="X94" s="40">
        <f>IF([2]Setup!$B$20=[2]Setup!$U$19,'[2]Country populations'!AH95,'[2]Country populations'!AS95)</f>
        <v>0</v>
      </c>
      <c r="Y94" s="40" t="str">
        <f t="shared" si="5"/>
        <v>Jordan</v>
      </c>
      <c r="Z94" s="40">
        <f>IF([2]Setup!$B$21=[2]Setup!$V$19,'[2]Country populations'!AT95,'[2]Country populations'!BE95)</f>
        <v>0</v>
      </c>
      <c r="AA94" s="40">
        <f>IF([2]Setup!$B$21=[2]Setup!$V$19,'[2]Country populations'!AU95,'[2]Country populations'!BF95)</f>
        <v>0</v>
      </c>
      <c r="AB94" s="40">
        <f>IF([2]Setup!$B$21=[2]Setup!$V$19,'[2]Country populations'!AV95,'[2]Country populations'!BG95)</f>
        <v>0</v>
      </c>
      <c r="AC94" s="40">
        <f>IF([2]Setup!$B$21=[2]Setup!$V$19,'[2]Country populations'!AW95,'[2]Country populations'!BH95)</f>
        <v>0</v>
      </c>
      <c r="AD94" s="40">
        <f>IF([2]Setup!$B$21=[2]Setup!$V$19,'[2]Country populations'!AX95,'[2]Country populations'!BI95)</f>
        <v>0</v>
      </c>
      <c r="AE94" s="40">
        <f>IF([2]Setup!$B$21=[2]Setup!$V$19,'[2]Country populations'!AY95,'[2]Country populations'!BJ95)</f>
        <v>0</v>
      </c>
      <c r="AF94" s="40">
        <f>IF([2]Setup!$B$21=[2]Setup!$V$19,'[2]Country populations'!AZ95,'[2]Country populations'!BK95)</f>
        <v>0</v>
      </c>
      <c r="AG94" s="40">
        <f>IF([2]Setup!$B$21=[2]Setup!$V$19,'[2]Country populations'!BA95,'[2]Country populations'!BL95)</f>
        <v>0</v>
      </c>
      <c r="AH94" s="40">
        <f>IF([2]Setup!$B$21=[2]Setup!$V$19,'[2]Country populations'!BB95,'[2]Country populations'!BM95)</f>
        <v>0</v>
      </c>
      <c r="AI94" s="40">
        <f>IF([2]Setup!$B$21=[2]Setup!$V$19,'[2]Country populations'!BC95,'[2]Country populations'!BN95)</f>
        <v>0</v>
      </c>
      <c r="AJ94" s="40">
        <f>IF([2]Setup!$B$21=[2]Setup!$V$19,'[2]Country populations'!BD95,'[2]Country populations'!BO95)</f>
        <v>0</v>
      </c>
    </row>
    <row r="95" spans="1:36" x14ac:dyDescent="0.25">
      <c r="A95" t="str">
        <f>'[2]Country populations'!A96</f>
        <v>Kazakhstan</v>
      </c>
      <c r="B95" s="40">
        <f>IF([2]Setup!$B$19=[2]Setup!$T$19,'[2]Country populations'!B96,'[2]Country populations'!M96)</f>
        <v>24325</v>
      </c>
      <c r="C95" s="40">
        <f>IF([2]Setup!$B$19=[2]Setup!$T$19,'[2]Country populations'!C96,'[2]Country populations'!N96)</f>
        <v>25384</v>
      </c>
      <c r="D95" s="40">
        <f>IF([2]Setup!$B$19=[2]Setup!$T$19,'[2]Country populations'!D96,'[2]Country populations'!O96)</f>
        <v>26452</v>
      </c>
      <c r="E95" s="40">
        <f>IF([2]Setup!$B$19=[2]Setup!$T$19,'[2]Country populations'!E96,'[2]Country populations'!P96)</f>
        <v>27528</v>
      </c>
      <c r="F95" s="40">
        <f>IF([2]Setup!$B$19=[2]Setup!$T$19,'[2]Country populations'!F96,'[2]Country populations'!Q96)</f>
        <v>28602</v>
      </c>
      <c r="G95" s="40">
        <f>IF([2]Setup!$B$19=[2]Setup!$T$19,'[2]Country populations'!G96,'[2]Country populations'!R96)</f>
        <v>29695</v>
      </c>
      <c r="H95" s="40">
        <f>IF([2]Setup!$B$19=[2]Setup!$T$19,'[2]Country populations'!H96,'[2]Country populations'!S96)</f>
        <v>30723</v>
      </c>
      <c r="I95" s="40">
        <f>IF([2]Setup!$B$19=[2]Setup!$T$19,'[2]Country populations'!I96,'[2]Country populations'!T96)</f>
        <v>31682</v>
      </c>
      <c r="J95" s="40">
        <f>IF([2]Setup!$B$19=[2]Setup!$T$19,'[2]Country populations'!J96,'[2]Country populations'!U96)</f>
        <v>32577</v>
      </c>
      <c r="K95" s="40">
        <f>IF([2]Setup!$B$19=[2]Setup!$T$19,'[2]Country populations'!K96,'[2]Country populations'!V96)</f>
        <v>33413</v>
      </c>
      <c r="L95" s="40">
        <f>IF([2]Setup!$B$19=[2]Setup!$T$19,'[2]Country populations'!L96,'[2]Country populations'!W96)</f>
        <v>34197</v>
      </c>
      <c r="M95" s="40" t="str">
        <f t="shared" si="4"/>
        <v>Kazakhstan</v>
      </c>
      <c r="N95" s="40">
        <f>IF([2]Setup!$B$20=[2]Setup!$U$19,'[2]Country populations'!X96,'[2]Country populations'!AI96)</f>
        <v>876</v>
      </c>
      <c r="O95" s="40">
        <f>IF([2]Setup!$B$20=[2]Setup!$U$19,'[2]Country populations'!Y96,'[2]Country populations'!AJ96)</f>
        <v>958</v>
      </c>
      <c r="P95" s="40">
        <f>IF([2]Setup!$B$20=[2]Setup!$U$19,'[2]Country populations'!Z96,'[2]Country populations'!AK96)</f>
        <v>1000</v>
      </c>
      <c r="Q95" s="40">
        <f>IF([2]Setup!$B$20=[2]Setup!$U$19,'[2]Country populations'!AA96,'[2]Country populations'!AL96)</f>
        <v>1032</v>
      </c>
      <c r="R95" s="40">
        <f>IF([2]Setup!$B$20=[2]Setup!$U$19,'[2]Country populations'!AB96,'[2]Country populations'!AM96)</f>
        <v>1041</v>
      </c>
      <c r="S95" s="40">
        <f>IF([2]Setup!$B$20=[2]Setup!$U$19,'[2]Country populations'!AC96,'[2]Country populations'!AN96)</f>
        <v>1031</v>
      </c>
      <c r="T95" s="40">
        <f>IF([2]Setup!$B$20=[2]Setup!$U$19,'[2]Country populations'!AD96,'[2]Country populations'!AO96)</f>
        <v>1017</v>
      </c>
      <c r="U95" s="40">
        <f>IF([2]Setup!$B$20=[2]Setup!$U$19,'[2]Country populations'!AE96,'[2]Country populations'!AP96)</f>
        <v>993</v>
      </c>
      <c r="V95" s="40">
        <f>IF([2]Setup!$B$20=[2]Setup!$U$19,'[2]Country populations'!AF96,'[2]Country populations'!AQ96)</f>
        <v>959</v>
      </c>
      <c r="W95" s="40">
        <f>IF([2]Setup!$B$20=[2]Setup!$U$19,'[2]Country populations'!AG96,'[2]Country populations'!AR96)</f>
        <v>917</v>
      </c>
      <c r="X95" s="40">
        <f>IF([2]Setup!$B$20=[2]Setup!$U$19,'[2]Country populations'!AH96,'[2]Country populations'!AS96)</f>
        <v>868</v>
      </c>
      <c r="Y95" s="40" t="str">
        <f t="shared" si="5"/>
        <v>Kazakhstan</v>
      </c>
      <c r="Z95" s="40">
        <f>IF([2]Setup!$B$21=[2]Setup!$V$19,'[2]Country populations'!AT96,'[2]Country populations'!BE96)</f>
        <v>607</v>
      </c>
      <c r="AA95" s="40">
        <f>IF([2]Setup!$B$21=[2]Setup!$V$19,'[2]Country populations'!AU96,'[2]Country populations'!BF96)</f>
        <v>615</v>
      </c>
      <c r="AB95" s="40">
        <f>IF([2]Setup!$B$21=[2]Setup!$V$19,'[2]Country populations'!AV96,'[2]Country populations'!BG96)</f>
        <v>619</v>
      </c>
      <c r="AC95" s="40">
        <f>IF([2]Setup!$B$21=[2]Setup!$V$19,'[2]Country populations'!AW96,'[2]Country populations'!BH96)</f>
        <v>619</v>
      </c>
      <c r="AD95" s="40">
        <f>IF([2]Setup!$B$21=[2]Setup!$V$19,'[2]Country populations'!AX96,'[2]Country populations'!BI96)</f>
        <v>616</v>
      </c>
      <c r="AE95" s="40">
        <f>IF([2]Setup!$B$21=[2]Setup!$V$19,'[2]Country populations'!AY96,'[2]Country populations'!BJ96)</f>
        <v>610</v>
      </c>
      <c r="AF95" s="40">
        <f>IF([2]Setup!$B$21=[2]Setup!$V$19,'[2]Country populations'!AZ96,'[2]Country populations'!BK96)</f>
        <v>602</v>
      </c>
      <c r="AG95" s="40">
        <f>IF([2]Setup!$B$21=[2]Setup!$V$19,'[2]Country populations'!BA96,'[2]Country populations'!BL96)</f>
        <v>591</v>
      </c>
      <c r="AH95" s="40">
        <f>IF([2]Setup!$B$21=[2]Setup!$V$19,'[2]Country populations'!BB96,'[2]Country populations'!BM96)</f>
        <v>578</v>
      </c>
      <c r="AI95" s="40">
        <f>IF([2]Setup!$B$21=[2]Setup!$V$19,'[2]Country populations'!BC96,'[2]Country populations'!BN96)</f>
        <v>566</v>
      </c>
      <c r="AJ95" s="40">
        <f>IF([2]Setup!$B$21=[2]Setup!$V$19,'[2]Country populations'!BD96,'[2]Country populations'!BO96)</f>
        <v>555</v>
      </c>
    </row>
    <row r="96" spans="1:36" x14ac:dyDescent="0.25">
      <c r="A96" t="str">
        <f>'[2]Country populations'!A97</f>
        <v>Kenya</v>
      </c>
      <c r="B96" s="40">
        <f>IF([2]Setup!$B$19=[2]Setup!$T$19,'[2]Country populations'!B97,'[2]Country populations'!M97)</f>
        <v>1682701</v>
      </c>
      <c r="C96" s="40">
        <f>IF([2]Setup!$B$19=[2]Setup!$T$19,'[2]Country populations'!C97,'[2]Country populations'!N97)</f>
        <v>1701040</v>
      </c>
      <c r="D96" s="40">
        <f>IF([2]Setup!$B$19=[2]Setup!$T$19,'[2]Country populations'!D97,'[2]Country populations'!O97)</f>
        <v>1710316</v>
      </c>
      <c r="E96" s="40">
        <f>IF([2]Setup!$B$19=[2]Setup!$T$19,'[2]Country populations'!E97,'[2]Country populations'!P97)</f>
        <v>1711298</v>
      </c>
      <c r="F96" s="40">
        <f>IF([2]Setup!$B$19=[2]Setup!$T$19,'[2]Country populations'!F97,'[2]Country populations'!Q97)</f>
        <v>1710440</v>
      </c>
      <c r="G96" s="40">
        <f>IF([2]Setup!$B$19=[2]Setup!$T$19,'[2]Country populations'!G97,'[2]Country populations'!R97)</f>
        <v>1713384</v>
      </c>
      <c r="H96" s="40">
        <f>IF([2]Setup!$B$19=[2]Setup!$T$19,'[2]Country populations'!H97,'[2]Country populations'!S97)</f>
        <v>1719978</v>
      </c>
      <c r="I96" s="40">
        <f>IF([2]Setup!$B$19=[2]Setup!$T$19,'[2]Country populations'!I97,'[2]Country populations'!T97)</f>
        <v>1727650</v>
      </c>
      <c r="J96" s="40">
        <f>IF([2]Setup!$B$19=[2]Setup!$T$19,'[2]Country populations'!J97,'[2]Country populations'!U97)</f>
        <v>1735970</v>
      </c>
      <c r="K96" s="40">
        <f>IF([2]Setup!$B$19=[2]Setup!$T$19,'[2]Country populations'!K97,'[2]Country populations'!V97)</f>
        <v>1746109</v>
      </c>
      <c r="L96" s="40">
        <f>IF([2]Setup!$B$19=[2]Setup!$T$19,'[2]Country populations'!L97,'[2]Country populations'!W97)</f>
        <v>1757758</v>
      </c>
      <c r="M96" s="40" t="str">
        <f t="shared" si="4"/>
        <v>Kenya</v>
      </c>
      <c r="N96" s="40">
        <f>IF([2]Setup!$B$20=[2]Setup!$U$19,'[2]Country populations'!X97,'[2]Country populations'!AI97)</f>
        <v>224727</v>
      </c>
      <c r="O96" s="40">
        <f>IF([2]Setup!$B$20=[2]Setup!$U$19,'[2]Country populations'!Y97,'[2]Country populations'!AJ97)</f>
        <v>215727</v>
      </c>
      <c r="P96" s="40">
        <f>IF([2]Setup!$B$20=[2]Setup!$U$19,'[2]Country populations'!Z97,'[2]Country populations'!AK97)</f>
        <v>206584</v>
      </c>
      <c r="Q96" s="40">
        <f>IF([2]Setup!$B$20=[2]Setup!$U$19,'[2]Country populations'!AA97,'[2]Country populations'!AL97)</f>
        <v>197956</v>
      </c>
      <c r="R96" s="40">
        <f>IF([2]Setup!$B$20=[2]Setup!$U$19,'[2]Country populations'!AB97,'[2]Country populations'!AM97)</f>
        <v>190045</v>
      </c>
      <c r="S96" s="40">
        <f>IF([2]Setup!$B$20=[2]Setup!$U$19,'[2]Country populations'!AC97,'[2]Country populations'!AN97)</f>
        <v>181216</v>
      </c>
      <c r="T96" s="40">
        <f>IF([2]Setup!$B$20=[2]Setup!$U$19,'[2]Country populations'!AD97,'[2]Country populations'!AO97)</f>
        <v>172289</v>
      </c>
      <c r="U96" s="40">
        <f>IF([2]Setup!$B$20=[2]Setup!$U$19,'[2]Country populations'!AE97,'[2]Country populations'!AP97)</f>
        <v>162681</v>
      </c>
      <c r="V96" s="40">
        <f>IF([2]Setup!$B$20=[2]Setup!$U$19,'[2]Country populations'!AF97,'[2]Country populations'!AQ97)</f>
        <v>153138</v>
      </c>
      <c r="W96" s="40">
        <f>IF([2]Setup!$B$20=[2]Setup!$U$19,'[2]Country populations'!AG97,'[2]Country populations'!AR97)</f>
        <v>143367</v>
      </c>
      <c r="X96" s="40">
        <f>IF([2]Setup!$B$20=[2]Setup!$U$19,'[2]Country populations'!AH97,'[2]Country populations'!AS97)</f>
        <v>134070</v>
      </c>
      <c r="Y96" s="40" t="str">
        <f t="shared" si="5"/>
        <v>Kenya</v>
      </c>
      <c r="Z96" s="40">
        <f>IF([2]Setup!$B$21=[2]Setup!$V$19,'[2]Country populations'!AT97,'[2]Country populations'!BE97)</f>
        <v>91205</v>
      </c>
      <c r="AA96" s="40">
        <f>IF([2]Setup!$B$21=[2]Setup!$V$19,'[2]Country populations'!AU97,'[2]Country populations'!BF97)</f>
        <v>88866</v>
      </c>
      <c r="AB96" s="40">
        <f>IF([2]Setup!$B$21=[2]Setup!$V$19,'[2]Country populations'!AV97,'[2]Country populations'!BG97)</f>
        <v>86228</v>
      </c>
      <c r="AC96" s="40">
        <f>IF([2]Setup!$B$21=[2]Setup!$V$19,'[2]Country populations'!AW97,'[2]Country populations'!BH97)</f>
        <v>83466</v>
      </c>
      <c r="AD96" s="40">
        <f>IF([2]Setup!$B$21=[2]Setup!$V$19,'[2]Country populations'!AX97,'[2]Country populations'!BI97)</f>
        <v>80649</v>
      </c>
      <c r="AE96" s="40">
        <f>IF([2]Setup!$B$21=[2]Setup!$V$19,'[2]Country populations'!AY97,'[2]Country populations'!BJ97)</f>
        <v>78073</v>
      </c>
      <c r="AF96" s="40">
        <f>IF([2]Setup!$B$21=[2]Setup!$V$19,'[2]Country populations'!AZ97,'[2]Country populations'!BK97)</f>
        <v>75784</v>
      </c>
      <c r="AG96" s="40">
        <f>IF([2]Setup!$B$21=[2]Setup!$V$19,'[2]Country populations'!BA97,'[2]Country populations'!BL97)</f>
        <v>73754</v>
      </c>
      <c r="AH96" s="40">
        <f>IF([2]Setup!$B$21=[2]Setup!$V$19,'[2]Country populations'!BB97,'[2]Country populations'!BM97)</f>
        <v>72035</v>
      </c>
      <c r="AI96" s="40">
        <f>IF([2]Setup!$B$21=[2]Setup!$V$19,'[2]Country populations'!BC97,'[2]Country populations'!BN97)</f>
        <v>70652</v>
      </c>
      <c r="AJ96" s="40">
        <f>IF([2]Setup!$B$21=[2]Setup!$V$19,'[2]Country populations'!BD97,'[2]Country populations'!BO97)</f>
        <v>69621</v>
      </c>
    </row>
    <row r="97" spans="1:36" x14ac:dyDescent="0.25">
      <c r="A97" t="str">
        <f>'[2]Country populations'!A98</f>
        <v>Kiribati</v>
      </c>
      <c r="B97" s="40">
        <f>IF([2]Setup!$B$19=[2]Setup!$T$19,'[2]Country populations'!B98,'[2]Country populations'!M98)</f>
        <v>0</v>
      </c>
      <c r="C97" s="40">
        <f>IF([2]Setup!$B$19=[2]Setup!$T$19,'[2]Country populations'!C98,'[2]Country populations'!N98)</f>
        <v>0</v>
      </c>
      <c r="D97" s="40">
        <f>IF([2]Setup!$B$19=[2]Setup!$T$19,'[2]Country populations'!D98,'[2]Country populations'!O98)</f>
        <v>0</v>
      </c>
      <c r="E97" s="40">
        <f>IF([2]Setup!$B$19=[2]Setup!$T$19,'[2]Country populations'!E98,'[2]Country populations'!P98)</f>
        <v>0</v>
      </c>
      <c r="F97" s="40">
        <f>IF([2]Setup!$B$19=[2]Setup!$T$19,'[2]Country populations'!F98,'[2]Country populations'!Q98)</f>
        <v>0</v>
      </c>
      <c r="G97" s="40">
        <f>IF([2]Setup!$B$19=[2]Setup!$T$19,'[2]Country populations'!G98,'[2]Country populations'!R98)</f>
        <v>0</v>
      </c>
      <c r="H97" s="40">
        <f>IF([2]Setup!$B$19=[2]Setup!$T$19,'[2]Country populations'!H98,'[2]Country populations'!S98)</f>
        <v>0</v>
      </c>
      <c r="I97" s="40">
        <f>IF([2]Setup!$B$19=[2]Setup!$T$19,'[2]Country populations'!I98,'[2]Country populations'!T98)</f>
        <v>0</v>
      </c>
      <c r="J97" s="40">
        <f>IF([2]Setup!$B$19=[2]Setup!$T$19,'[2]Country populations'!J98,'[2]Country populations'!U98)</f>
        <v>0</v>
      </c>
      <c r="K97" s="40">
        <f>IF([2]Setup!$B$19=[2]Setup!$T$19,'[2]Country populations'!K98,'[2]Country populations'!V98)</f>
        <v>0</v>
      </c>
      <c r="L97" s="40">
        <f>IF([2]Setup!$B$19=[2]Setup!$T$19,'[2]Country populations'!L98,'[2]Country populations'!W98)</f>
        <v>0</v>
      </c>
      <c r="M97" s="40" t="str">
        <f t="shared" si="4"/>
        <v>Kiribati</v>
      </c>
      <c r="N97" s="40">
        <f>IF([2]Setup!$B$20=[2]Setup!$U$19,'[2]Country populations'!X98,'[2]Country populations'!AI98)</f>
        <v>0</v>
      </c>
      <c r="O97" s="40">
        <f>IF([2]Setup!$B$20=[2]Setup!$U$19,'[2]Country populations'!Y98,'[2]Country populations'!AJ98)</f>
        <v>0</v>
      </c>
      <c r="P97" s="40">
        <f>IF([2]Setup!$B$20=[2]Setup!$U$19,'[2]Country populations'!Z98,'[2]Country populations'!AK98)</f>
        <v>0</v>
      </c>
      <c r="Q97" s="40">
        <f>IF([2]Setup!$B$20=[2]Setup!$U$19,'[2]Country populations'!AA98,'[2]Country populations'!AL98)</f>
        <v>0</v>
      </c>
      <c r="R97" s="40">
        <f>IF([2]Setup!$B$20=[2]Setup!$U$19,'[2]Country populations'!AB98,'[2]Country populations'!AM98)</f>
        <v>0</v>
      </c>
      <c r="S97" s="40">
        <f>IF([2]Setup!$B$20=[2]Setup!$U$19,'[2]Country populations'!AC98,'[2]Country populations'!AN98)</f>
        <v>0</v>
      </c>
      <c r="T97" s="40">
        <f>IF([2]Setup!$B$20=[2]Setup!$U$19,'[2]Country populations'!AD98,'[2]Country populations'!AO98)</f>
        <v>0</v>
      </c>
      <c r="U97" s="40">
        <f>IF([2]Setup!$B$20=[2]Setup!$U$19,'[2]Country populations'!AE98,'[2]Country populations'!AP98)</f>
        <v>0</v>
      </c>
      <c r="V97" s="40">
        <f>IF([2]Setup!$B$20=[2]Setup!$U$19,'[2]Country populations'!AF98,'[2]Country populations'!AQ98)</f>
        <v>0</v>
      </c>
      <c r="W97" s="40">
        <f>IF([2]Setup!$B$20=[2]Setup!$U$19,'[2]Country populations'!AG98,'[2]Country populations'!AR98)</f>
        <v>0</v>
      </c>
      <c r="X97" s="40">
        <f>IF([2]Setup!$B$20=[2]Setup!$U$19,'[2]Country populations'!AH98,'[2]Country populations'!AS98)</f>
        <v>0</v>
      </c>
      <c r="Y97" s="40" t="str">
        <f t="shared" si="5"/>
        <v>Kiribati</v>
      </c>
      <c r="Z97" s="40">
        <f>IF([2]Setup!$B$21=[2]Setup!$V$19,'[2]Country populations'!AT98,'[2]Country populations'!BE98)</f>
        <v>0</v>
      </c>
      <c r="AA97" s="40">
        <f>IF([2]Setup!$B$21=[2]Setup!$V$19,'[2]Country populations'!AU98,'[2]Country populations'!BF98)</f>
        <v>0</v>
      </c>
      <c r="AB97" s="40">
        <f>IF([2]Setup!$B$21=[2]Setup!$V$19,'[2]Country populations'!AV98,'[2]Country populations'!BG98)</f>
        <v>0</v>
      </c>
      <c r="AC97" s="40">
        <f>IF([2]Setup!$B$21=[2]Setup!$V$19,'[2]Country populations'!AW98,'[2]Country populations'!BH98)</f>
        <v>0</v>
      </c>
      <c r="AD97" s="40">
        <f>IF([2]Setup!$B$21=[2]Setup!$V$19,'[2]Country populations'!AX98,'[2]Country populations'!BI98)</f>
        <v>0</v>
      </c>
      <c r="AE97" s="40">
        <f>IF([2]Setup!$B$21=[2]Setup!$V$19,'[2]Country populations'!AY98,'[2]Country populations'!BJ98)</f>
        <v>0</v>
      </c>
      <c r="AF97" s="40">
        <f>IF([2]Setup!$B$21=[2]Setup!$V$19,'[2]Country populations'!AZ98,'[2]Country populations'!BK98)</f>
        <v>0</v>
      </c>
      <c r="AG97" s="40">
        <f>IF([2]Setup!$B$21=[2]Setup!$V$19,'[2]Country populations'!BA98,'[2]Country populations'!BL98)</f>
        <v>0</v>
      </c>
      <c r="AH97" s="40">
        <f>IF([2]Setup!$B$21=[2]Setup!$V$19,'[2]Country populations'!BB98,'[2]Country populations'!BM98)</f>
        <v>0</v>
      </c>
      <c r="AI97" s="40">
        <f>IF([2]Setup!$B$21=[2]Setup!$V$19,'[2]Country populations'!BC98,'[2]Country populations'!BN98)</f>
        <v>0</v>
      </c>
      <c r="AJ97" s="40">
        <f>IF([2]Setup!$B$21=[2]Setup!$V$19,'[2]Country populations'!BD98,'[2]Country populations'!BO98)</f>
        <v>0</v>
      </c>
    </row>
    <row r="98" spans="1:36" x14ac:dyDescent="0.25">
      <c r="A98" t="str">
        <f>'[2]Country populations'!A99</f>
        <v>Kuwait</v>
      </c>
      <c r="B98" s="40">
        <f>IF([2]Setup!$B$19=[2]Setup!$T$19,'[2]Country populations'!B99,'[2]Country populations'!M99)</f>
        <v>0</v>
      </c>
      <c r="C98" s="40">
        <f>IF([2]Setup!$B$19=[2]Setup!$T$19,'[2]Country populations'!C99,'[2]Country populations'!N99)</f>
        <v>0</v>
      </c>
      <c r="D98" s="40">
        <f>IF([2]Setup!$B$19=[2]Setup!$T$19,'[2]Country populations'!D99,'[2]Country populations'!O99)</f>
        <v>0</v>
      </c>
      <c r="E98" s="40">
        <f>IF([2]Setup!$B$19=[2]Setup!$T$19,'[2]Country populations'!E99,'[2]Country populations'!P99)</f>
        <v>0</v>
      </c>
      <c r="F98" s="40">
        <f>IF([2]Setup!$B$19=[2]Setup!$T$19,'[2]Country populations'!F99,'[2]Country populations'!Q99)</f>
        <v>0</v>
      </c>
      <c r="G98" s="40">
        <f>IF([2]Setup!$B$19=[2]Setup!$T$19,'[2]Country populations'!G99,'[2]Country populations'!R99)</f>
        <v>0</v>
      </c>
      <c r="H98" s="40">
        <f>IF([2]Setup!$B$19=[2]Setup!$T$19,'[2]Country populations'!H99,'[2]Country populations'!S99)</f>
        <v>0</v>
      </c>
      <c r="I98" s="40">
        <f>IF([2]Setup!$B$19=[2]Setup!$T$19,'[2]Country populations'!I99,'[2]Country populations'!T99)</f>
        <v>0</v>
      </c>
      <c r="J98" s="40">
        <f>IF([2]Setup!$B$19=[2]Setup!$T$19,'[2]Country populations'!J99,'[2]Country populations'!U99)</f>
        <v>0</v>
      </c>
      <c r="K98" s="40">
        <f>IF([2]Setup!$B$19=[2]Setup!$T$19,'[2]Country populations'!K99,'[2]Country populations'!V99)</f>
        <v>0</v>
      </c>
      <c r="L98" s="40">
        <f>IF([2]Setup!$B$19=[2]Setup!$T$19,'[2]Country populations'!L99,'[2]Country populations'!W99)</f>
        <v>0</v>
      </c>
      <c r="M98" s="40" t="str">
        <f t="shared" si="4"/>
        <v>Kuwait</v>
      </c>
      <c r="N98" s="40">
        <f>IF([2]Setup!$B$20=[2]Setup!$U$19,'[2]Country populations'!X99,'[2]Country populations'!AI99)</f>
        <v>0</v>
      </c>
      <c r="O98" s="40">
        <f>IF([2]Setup!$B$20=[2]Setup!$U$19,'[2]Country populations'!Y99,'[2]Country populations'!AJ99)</f>
        <v>0</v>
      </c>
      <c r="P98" s="40">
        <f>IF([2]Setup!$B$20=[2]Setup!$U$19,'[2]Country populations'!Z99,'[2]Country populations'!AK99)</f>
        <v>0</v>
      </c>
      <c r="Q98" s="40">
        <f>IF([2]Setup!$B$20=[2]Setup!$U$19,'[2]Country populations'!AA99,'[2]Country populations'!AL99)</f>
        <v>0</v>
      </c>
      <c r="R98" s="40">
        <f>IF([2]Setup!$B$20=[2]Setup!$U$19,'[2]Country populations'!AB99,'[2]Country populations'!AM99)</f>
        <v>0</v>
      </c>
      <c r="S98" s="40">
        <f>IF([2]Setup!$B$20=[2]Setup!$U$19,'[2]Country populations'!AC99,'[2]Country populations'!AN99)</f>
        <v>0</v>
      </c>
      <c r="T98" s="40">
        <f>IF([2]Setup!$B$20=[2]Setup!$U$19,'[2]Country populations'!AD99,'[2]Country populations'!AO99)</f>
        <v>0</v>
      </c>
      <c r="U98" s="40">
        <f>IF([2]Setup!$B$20=[2]Setup!$U$19,'[2]Country populations'!AE99,'[2]Country populations'!AP99)</f>
        <v>0</v>
      </c>
      <c r="V98" s="40">
        <f>IF([2]Setup!$B$20=[2]Setup!$U$19,'[2]Country populations'!AF99,'[2]Country populations'!AQ99)</f>
        <v>0</v>
      </c>
      <c r="W98" s="40">
        <f>IF([2]Setup!$B$20=[2]Setup!$U$19,'[2]Country populations'!AG99,'[2]Country populations'!AR99)</f>
        <v>0</v>
      </c>
      <c r="X98" s="40">
        <f>IF([2]Setup!$B$20=[2]Setup!$U$19,'[2]Country populations'!AH99,'[2]Country populations'!AS99)</f>
        <v>0</v>
      </c>
      <c r="Y98" s="40" t="str">
        <f t="shared" si="5"/>
        <v>Kuwait</v>
      </c>
      <c r="Z98" s="40">
        <f>IF([2]Setup!$B$21=[2]Setup!$V$19,'[2]Country populations'!AT99,'[2]Country populations'!BE99)</f>
        <v>0</v>
      </c>
      <c r="AA98" s="40">
        <f>IF([2]Setup!$B$21=[2]Setup!$V$19,'[2]Country populations'!AU99,'[2]Country populations'!BF99)</f>
        <v>0</v>
      </c>
      <c r="AB98" s="40">
        <f>IF([2]Setup!$B$21=[2]Setup!$V$19,'[2]Country populations'!AV99,'[2]Country populations'!BG99)</f>
        <v>0</v>
      </c>
      <c r="AC98" s="40">
        <f>IF([2]Setup!$B$21=[2]Setup!$V$19,'[2]Country populations'!AW99,'[2]Country populations'!BH99)</f>
        <v>0</v>
      </c>
      <c r="AD98" s="40">
        <f>IF([2]Setup!$B$21=[2]Setup!$V$19,'[2]Country populations'!AX99,'[2]Country populations'!BI99)</f>
        <v>0</v>
      </c>
      <c r="AE98" s="40">
        <f>IF([2]Setup!$B$21=[2]Setup!$V$19,'[2]Country populations'!AY99,'[2]Country populations'!BJ99)</f>
        <v>0</v>
      </c>
      <c r="AF98" s="40">
        <f>IF([2]Setup!$B$21=[2]Setup!$V$19,'[2]Country populations'!AZ99,'[2]Country populations'!BK99)</f>
        <v>0</v>
      </c>
      <c r="AG98" s="40">
        <f>IF([2]Setup!$B$21=[2]Setup!$V$19,'[2]Country populations'!BA99,'[2]Country populations'!BL99)</f>
        <v>0</v>
      </c>
      <c r="AH98" s="40">
        <f>IF([2]Setup!$B$21=[2]Setup!$V$19,'[2]Country populations'!BB99,'[2]Country populations'!BM99)</f>
        <v>0</v>
      </c>
      <c r="AI98" s="40">
        <f>IF([2]Setup!$B$21=[2]Setup!$V$19,'[2]Country populations'!BC99,'[2]Country populations'!BN99)</f>
        <v>0</v>
      </c>
      <c r="AJ98" s="40">
        <f>IF([2]Setup!$B$21=[2]Setup!$V$19,'[2]Country populations'!BD99,'[2]Country populations'!BO99)</f>
        <v>0</v>
      </c>
    </row>
    <row r="99" spans="1:36" x14ac:dyDescent="0.25">
      <c r="A99" t="str">
        <f>'[2]Country populations'!A100</f>
        <v>Kyrgyzstan</v>
      </c>
      <c r="B99" s="40">
        <f>IF([2]Setup!$B$19=[2]Setup!$T$19,'[2]Country populations'!B100,'[2]Country populations'!M100)</f>
        <v>10242</v>
      </c>
      <c r="C99" s="40">
        <f>IF([2]Setup!$B$19=[2]Setup!$T$19,'[2]Country populations'!C100,'[2]Country populations'!N100)</f>
        <v>10924</v>
      </c>
      <c r="D99" s="40">
        <f>IF([2]Setup!$B$19=[2]Setup!$T$19,'[2]Country populations'!D100,'[2]Country populations'!O100)</f>
        <v>11607</v>
      </c>
      <c r="E99" s="40">
        <f>IF([2]Setup!$B$19=[2]Setup!$T$19,'[2]Country populations'!E100,'[2]Country populations'!P100)</f>
        <v>12274</v>
      </c>
      <c r="F99" s="40">
        <f>IF([2]Setup!$B$19=[2]Setup!$T$19,'[2]Country populations'!F100,'[2]Country populations'!Q100)</f>
        <v>12909</v>
      </c>
      <c r="G99" s="40">
        <f>IF([2]Setup!$B$19=[2]Setup!$T$19,'[2]Country populations'!G100,'[2]Country populations'!R100)</f>
        <v>13493</v>
      </c>
      <c r="H99" s="40">
        <f>IF([2]Setup!$B$19=[2]Setup!$T$19,'[2]Country populations'!H100,'[2]Country populations'!S100)</f>
        <v>14037</v>
      </c>
      <c r="I99" s="40">
        <f>IF([2]Setup!$B$19=[2]Setup!$T$19,'[2]Country populations'!I100,'[2]Country populations'!T100)</f>
        <v>14539</v>
      </c>
      <c r="J99" s="40">
        <f>IF([2]Setup!$B$19=[2]Setup!$T$19,'[2]Country populations'!J100,'[2]Country populations'!U100)</f>
        <v>15004</v>
      </c>
      <c r="K99" s="40">
        <f>IF([2]Setup!$B$19=[2]Setup!$T$19,'[2]Country populations'!K100,'[2]Country populations'!V100)</f>
        <v>15437</v>
      </c>
      <c r="L99" s="40">
        <f>IF([2]Setup!$B$19=[2]Setup!$T$19,'[2]Country populations'!L100,'[2]Country populations'!W100)</f>
        <v>15846</v>
      </c>
      <c r="M99" s="40" t="str">
        <f t="shared" si="4"/>
        <v>Kyrgyzstan</v>
      </c>
      <c r="N99" s="40">
        <f>IF([2]Setup!$B$20=[2]Setup!$U$19,'[2]Country populations'!X100,'[2]Country populations'!AI100)</f>
        <v>193</v>
      </c>
      <c r="O99" s="40">
        <f>IF([2]Setup!$B$20=[2]Setup!$U$19,'[2]Country populations'!Y100,'[2]Country populations'!AJ100)</f>
        <v>210</v>
      </c>
      <c r="P99" s="40">
        <f>IF([2]Setup!$B$20=[2]Setup!$U$19,'[2]Country populations'!Z100,'[2]Country populations'!AK100)</f>
        <v>225</v>
      </c>
      <c r="Q99" s="40">
        <f>IF([2]Setup!$B$20=[2]Setup!$U$19,'[2]Country populations'!AA100,'[2]Country populations'!AL100)</f>
        <v>239</v>
      </c>
      <c r="R99" s="40">
        <f>IF([2]Setup!$B$20=[2]Setup!$U$19,'[2]Country populations'!AB100,'[2]Country populations'!AM100)</f>
        <v>251</v>
      </c>
      <c r="S99" s="40">
        <f>IF([2]Setup!$B$20=[2]Setup!$U$19,'[2]Country populations'!AC100,'[2]Country populations'!AN100)</f>
        <v>261</v>
      </c>
      <c r="T99" s="40">
        <f>IF([2]Setup!$B$20=[2]Setup!$U$19,'[2]Country populations'!AD100,'[2]Country populations'!AO100)</f>
        <v>268</v>
      </c>
      <c r="U99" s="40">
        <f>IF([2]Setup!$B$20=[2]Setup!$U$19,'[2]Country populations'!AE100,'[2]Country populations'!AP100)</f>
        <v>271</v>
      </c>
      <c r="V99" s="40">
        <f>IF([2]Setup!$B$20=[2]Setup!$U$19,'[2]Country populations'!AF100,'[2]Country populations'!AQ100)</f>
        <v>270</v>
      </c>
      <c r="W99" s="40">
        <f>IF([2]Setup!$B$20=[2]Setup!$U$19,'[2]Country populations'!AG100,'[2]Country populations'!AR100)</f>
        <v>268</v>
      </c>
      <c r="X99" s="40">
        <f>IF([2]Setup!$B$20=[2]Setup!$U$19,'[2]Country populations'!AH100,'[2]Country populations'!AS100)</f>
        <v>262</v>
      </c>
      <c r="Y99" s="40" t="str">
        <f t="shared" si="5"/>
        <v>Kyrgyzstan</v>
      </c>
      <c r="Z99" s="40">
        <f>IF([2]Setup!$B$21=[2]Setup!$V$19,'[2]Country populations'!AT100,'[2]Country populations'!BE100)</f>
        <v>145</v>
      </c>
      <c r="AA99" s="40">
        <f>IF([2]Setup!$B$21=[2]Setup!$V$19,'[2]Country populations'!AU100,'[2]Country populations'!BF100)</f>
        <v>145</v>
      </c>
      <c r="AB99" s="40">
        <f>IF([2]Setup!$B$21=[2]Setup!$V$19,'[2]Country populations'!AV100,'[2]Country populations'!BG100)</f>
        <v>143</v>
      </c>
      <c r="AC99" s="40">
        <f>IF([2]Setup!$B$21=[2]Setup!$V$19,'[2]Country populations'!AW100,'[2]Country populations'!BH100)</f>
        <v>142</v>
      </c>
      <c r="AD99" s="40">
        <f>IF([2]Setup!$B$21=[2]Setup!$V$19,'[2]Country populations'!AX100,'[2]Country populations'!BI100)</f>
        <v>140</v>
      </c>
      <c r="AE99" s="40">
        <f>IF([2]Setup!$B$21=[2]Setup!$V$19,'[2]Country populations'!AY100,'[2]Country populations'!BJ100)</f>
        <v>137</v>
      </c>
      <c r="AF99" s="40">
        <f>IF([2]Setup!$B$21=[2]Setup!$V$19,'[2]Country populations'!AZ100,'[2]Country populations'!BK100)</f>
        <v>134</v>
      </c>
      <c r="AG99" s="40">
        <f>IF([2]Setup!$B$21=[2]Setup!$V$19,'[2]Country populations'!BA100,'[2]Country populations'!BL100)</f>
        <v>130</v>
      </c>
      <c r="AH99" s="40">
        <f>IF([2]Setup!$B$21=[2]Setup!$V$19,'[2]Country populations'!BB100,'[2]Country populations'!BM100)</f>
        <v>126</v>
      </c>
      <c r="AI99" s="40">
        <f>IF([2]Setup!$B$21=[2]Setup!$V$19,'[2]Country populations'!BC100,'[2]Country populations'!BN100)</f>
        <v>122</v>
      </c>
      <c r="AJ99" s="40">
        <f>IF([2]Setup!$B$21=[2]Setup!$V$19,'[2]Country populations'!BD100,'[2]Country populations'!BO100)</f>
        <v>118</v>
      </c>
    </row>
    <row r="100" spans="1:36" x14ac:dyDescent="0.25">
      <c r="A100" t="str">
        <f>'[2]Country populations'!A101</f>
        <v>Lao People's Democratic Republic</v>
      </c>
      <c r="B100" s="40">
        <f>IF([2]Setup!$B$19=[2]Setup!$T$19,'[2]Country populations'!B101,'[2]Country populations'!M101)</f>
        <v>8061</v>
      </c>
      <c r="C100" s="40">
        <f>IF([2]Setup!$B$19=[2]Setup!$T$19,'[2]Country populations'!C101,'[2]Country populations'!N101)</f>
        <v>8445</v>
      </c>
      <c r="D100" s="40">
        <f>IF([2]Setup!$B$19=[2]Setup!$T$19,'[2]Country populations'!D101,'[2]Country populations'!O101)</f>
        <v>8818</v>
      </c>
      <c r="E100" s="40">
        <f>IF([2]Setup!$B$19=[2]Setup!$T$19,'[2]Country populations'!E101,'[2]Country populations'!P101)</f>
        <v>9182</v>
      </c>
      <c r="F100" s="40">
        <f>IF([2]Setup!$B$19=[2]Setup!$T$19,'[2]Country populations'!F101,'[2]Country populations'!Q101)</f>
        <v>9539</v>
      </c>
      <c r="G100" s="40">
        <f>IF([2]Setup!$B$19=[2]Setup!$T$19,'[2]Country populations'!G101,'[2]Country populations'!R101)</f>
        <v>9891</v>
      </c>
      <c r="H100" s="40">
        <f>IF([2]Setup!$B$19=[2]Setup!$T$19,'[2]Country populations'!H101,'[2]Country populations'!S101)</f>
        <v>10244</v>
      </c>
      <c r="I100" s="40">
        <f>IF([2]Setup!$B$19=[2]Setup!$T$19,'[2]Country populations'!I101,'[2]Country populations'!T101)</f>
        <v>10601</v>
      </c>
      <c r="J100" s="40">
        <f>IF([2]Setup!$B$19=[2]Setup!$T$19,'[2]Country populations'!J101,'[2]Country populations'!U101)</f>
        <v>10960</v>
      </c>
      <c r="K100" s="40">
        <f>IF([2]Setup!$B$19=[2]Setup!$T$19,'[2]Country populations'!K101,'[2]Country populations'!V101)</f>
        <v>11317</v>
      </c>
      <c r="L100" s="40">
        <f>IF([2]Setup!$B$19=[2]Setup!$T$19,'[2]Country populations'!L101,'[2]Country populations'!W101)</f>
        <v>11674</v>
      </c>
      <c r="M100" s="40" t="str">
        <f t="shared" si="4"/>
        <v>Lao People's Democratic Republic</v>
      </c>
      <c r="N100" s="40">
        <f>IF([2]Setup!$B$20=[2]Setup!$U$19,'[2]Country populations'!X101,'[2]Country populations'!AI101)</f>
        <v>556</v>
      </c>
      <c r="O100" s="40">
        <f>IF([2]Setup!$B$20=[2]Setup!$U$19,'[2]Country populations'!Y101,'[2]Country populations'!AJ101)</f>
        <v>560</v>
      </c>
      <c r="P100" s="40">
        <f>IF([2]Setup!$B$20=[2]Setup!$U$19,'[2]Country populations'!Z101,'[2]Country populations'!AK101)</f>
        <v>561</v>
      </c>
      <c r="Q100" s="40">
        <f>IF([2]Setup!$B$20=[2]Setup!$U$19,'[2]Country populations'!AA101,'[2]Country populations'!AL101)</f>
        <v>560</v>
      </c>
      <c r="R100" s="40">
        <f>IF([2]Setup!$B$20=[2]Setup!$U$19,'[2]Country populations'!AB101,'[2]Country populations'!AM101)</f>
        <v>558</v>
      </c>
      <c r="S100" s="40">
        <f>IF([2]Setup!$B$20=[2]Setup!$U$19,'[2]Country populations'!AC101,'[2]Country populations'!AN101)</f>
        <v>555</v>
      </c>
      <c r="T100" s="40">
        <f>IF([2]Setup!$B$20=[2]Setup!$U$19,'[2]Country populations'!AD101,'[2]Country populations'!AO101)</f>
        <v>548</v>
      </c>
      <c r="U100" s="40">
        <f>IF([2]Setup!$B$20=[2]Setup!$U$19,'[2]Country populations'!AE101,'[2]Country populations'!AP101)</f>
        <v>531</v>
      </c>
      <c r="V100" s="40">
        <f>IF([2]Setup!$B$20=[2]Setup!$U$19,'[2]Country populations'!AF101,'[2]Country populations'!AQ101)</f>
        <v>509</v>
      </c>
      <c r="W100" s="40">
        <f>IF([2]Setup!$B$20=[2]Setup!$U$19,'[2]Country populations'!AG101,'[2]Country populations'!AR101)</f>
        <v>484</v>
      </c>
      <c r="X100" s="40">
        <f>IF([2]Setup!$B$20=[2]Setup!$U$19,'[2]Country populations'!AH101,'[2]Country populations'!AS101)</f>
        <v>458</v>
      </c>
      <c r="Y100" s="40" t="str">
        <f t="shared" si="5"/>
        <v>Lao People's Democratic Republic</v>
      </c>
      <c r="Z100" s="40">
        <f>IF([2]Setup!$B$21=[2]Setup!$V$19,'[2]Country populations'!AT101,'[2]Country populations'!BE101)</f>
        <v>189</v>
      </c>
      <c r="AA100" s="40">
        <f>IF([2]Setup!$B$21=[2]Setup!$V$19,'[2]Country populations'!AU101,'[2]Country populations'!BF101)</f>
        <v>188</v>
      </c>
      <c r="AB100" s="40">
        <f>IF([2]Setup!$B$21=[2]Setup!$V$19,'[2]Country populations'!AV101,'[2]Country populations'!BG101)</f>
        <v>186</v>
      </c>
      <c r="AC100" s="40">
        <f>IF([2]Setup!$B$21=[2]Setup!$V$19,'[2]Country populations'!AW101,'[2]Country populations'!BH101)</f>
        <v>182</v>
      </c>
      <c r="AD100" s="40">
        <f>IF([2]Setup!$B$21=[2]Setup!$V$19,'[2]Country populations'!AX101,'[2]Country populations'!BI101)</f>
        <v>177</v>
      </c>
      <c r="AE100" s="40">
        <f>IF([2]Setup!$B$21=[2]Setup!$V$19,'[2]Country populations'!AY101,'[2]Country populations'!BJ101)</f>
        <v>171</v>
      </c>
      <c r="AF100" s="40">
        <f>IF([2]Setup!$B$21=[2]Setup!$V$19,'[2]Country populations'!AZ101,'[2]Country populations'!BK101)</f>
        <v>166</v>
      </c>
      <c r="AG100" s="40">
        <f>IF([2]Setup!$B$21=[2]Setup!$V$19,'[2]Country populations'!BA101,'[2]Country populations'!BL101)</f>
        <v>161</v>
      </c>
      <c r="AH100" s="40">
        <f>IF([2]Setup!$B$21=[2]Setup!$V$19,'[2]Country populations'!BB101,'[2]Country populations'!BM101)</f>
        <v>156</v>
      </c>
      <c r="AI100" s="40">
        <f>IF([2]Setup!$B$21=[2]Setup!$V$19,'[2]Country populations'!BC101,'[2]Country populations'!BN101)</f>
        <v>152</v>
      </c>
      <c r="AJ100" s="40">
        <f>IF([2]Setup!$B$21=[2]Setup!$V$19,'[2]Country populations'!BD101,'[2]Country populations'!BO101)</f>
        <v>147</v>
      </c>
    </row>
    <row r="101" spans="1:36" x14ac:dyDescent="0.25">
      <c r="A101" t="str">
        <f>'[2]Country populations'!A102</f>
        <v>Latvia</v>
      </c>
      <c r="B101" s="40">
        <f>IF([2]Setup!$B$19=[2]Setup!$T$19,'[2]Country populations'!B102,'[2]Country populations'!M102)</f>
        <v>4876</v>
      </c>
      <c r="C101" s="40">
        <f>IF([2]Setup!$B$19=[2]Setup!$T$19,'[2]Country populations'!C102,'[2]Country populations'!N102)</f>
        <v>4897</v>
      </c>
      <c r="D101" s="40">
        <f>IF([2]Setup!$B$19=[2]Setup!$T$19,'[2]Country populations'!D102,'[2]Country populations'!O102)</f>
        <v>4893</v>
      </c>
      <c r="E101" s="40">
        <f>IF([2]Setup!$B$19=[2]Setup!$T$19,'[2]Country populations'!E102,'[2]Country populations'!P102)</f>
        <v>4874</v>
      </c>
      <c r="F101" s="40">
        <f>IF([2]Setup!$B$19=[2]Setup!$T$19,'[2]Country populations'!F102,'[2]Country populations'!Q102)</f>
        <v>4846</v>
      </c>
      <c r="G101" s="40">
        <f>IF([2]Setup!$B$19=[2]Setup!$T$19,'[2]Country populations'!G102,'[2]Country populations'!R102)</f>
        <v>4811</v>
      </c>
      <c r="H101" s="40">
        <f>IF([2]Setup!$B$19=[2]Setup!$T$19,'[2]Country populations'!H102,'[2]Country populations'!S102)</f>
        <v>4773</v>
      </c>
      <c r="I101" s="40">
        <f>IF([2]Setup!$B$19=[2]Setup!$T$19,'[2]Country populations'!I102,'[2]Country populations'!T102)</f>
        <v>4730</v>
      </c>
      <c r="J101" s="40">
        <f>IF([2]Setup!$B$19=[2]Setup!$T$19,'[2]Country populations'!J102,'[2]Country populations'!U102)</f>
        <v>4685</v>
      </c>
      <c r="K101" s="40">
        <f>IF([2]Setup!$B$19=[2]Setup!$T$19,'[2]Country populations'!K102,'[2]Country populations'!V102)</f>
        <v>4639</v>
      </c>
      <c r="L101" s="40">
        <f>IF([2]Setup!$B$19=[2]Setup!$T$19,'[2]Country populations'!L102,'[2]Country populations'!W102)</f>
        <v>4597</v>
      </c>
      <c r="M101" s="40" t="str">
        <f t="shared" si="4"/>
        <v>Latvia</v>
      </c>
      <c r="N101" s="40">
        <f>IF([2]Setup!$B$20=[2]Setup!$U$19,'[2]Country populations'!X102,'[2]Country populations'!AI102)</f>
        <v>125</v>
      </c>
      <c r="O101" s="40">
        <f>IF([2]Setup!$B$20=[2]Setup!$U$19,'[2]Country populations'!Y102,'[2]Country populations'!AJ102)</f>
        <v>143</v>
      </c>
      <c r="P101" s="40">
        <f>IF([2]Setup!$B$20=[2]Setup!$U$19,'[2]Country populations'!Z102,'[2]Country populations'!AK102)</f>
        <v>156</v>
      </c>
      <c r="Q101" s="40">
        <f>IF([2]Setup!$B$20=[2]Setup!$U$19,'[2]Country populations'!AA102,'[2]Country populations'!AL102)</f>
        <v>169</v>
      </c>
      <c r="R101" s="40">
        <f>IF([2]Setup!$B$20=[2]Setup!$U$19,'[2]Country populations'!AB102,'[2]Country populations'!AM102)</f>
        <v>180</v>
      </c>
      <c r="S101" s="40">
        <f>IF([2]Setup!$B$20=[2]Setup!$U$19,'[2]Country populations'!AC102,'[2]Country populations'!AN102)</f>
        <v>188</v>
      </c>
      <c r="T101" s="40">
        <f>IF([2]Setup!$B$20=[2]Setup!$U$19,'[2]Country populations'!AD102,'[2]Country populations'!AO102)</f>
        <v>193</v>
      </c>
      <c r="U101" s="40">
        <f>IF([2]Setup!$B$20=[2]Setup!$U$19,'[2]Country populations'!AE102,'[2]Country populations'!AP102)</f>
        <v>199</v>
      </c>
      <c r="V101" s="40">
        <f>IF([2]Setup!$B$20=[2]Setup!$U$19,'[2]Country populations'!AF102,'[2]Country populations'!AQ102)</f>
        <v>204</v>
      </c>
      <c r="W101" s="40">
        <f>IF([2]Setup!$B$20=[2]Setup!$U$19,'[2]Country populations'!AG102,'[2]Country populations'!AR102)</f>
        <v>210</v>
      </c>
      <c r="X101" s="40">
        <f>IF([2]Setup!$B$20=[2]Setup!$U$19,'[2]Country populations'!AH102,'[2]Country populations'!AS102)</f>
        <v>214</v>
      </c>
      <c r="Y101" s="40" t="str">
        <f t="shared" si="5"/>
        <v>Latvia</v>
      </c>
      <c r="Z101" s="40">
        <f>IF([2]Setup!$B$21=[2]Setup!$V$19,'[2]Country populations'!AT102,'[2]Country populations'!BE102)</f>
        <v>45</v>
      </c>
      <c r="AA101" s="40">
        <f>IF([2]Setup!$B$21=[2]Setup!$V$19,'[2]Country populations'!AU102,'[2]Country populations'!BF102)</f>
        <v>45</v>
      </c>
      <c r="AB101" s="40">
        <f>IF([2]Setup!$B$21=[2]Setup!$V$19,'[2]Country populations'!AV102,'[2]Country populations'!BG102)</f>
        <v>45</v>
      </c>
      <c r="AC101" s="40">
        <f>IF([2]Setup!$B$21=[2]Setup!$V$19,'[2]Country populations'!AW102,'[2]Country populations'!BH102)</f>
        <v>45</v>
      </c>
      <c r="AD101" s="40">
        <f>IF([2]Setup!$B$21=[2]Setup!$V$19,'[2]Country populations'!AX102,'[2]Country populations'!BI102)</f>
        <v>45</v>
      </c>
      <c r="AE101" s="40">
        <f>IF([2]Setup!$B$21=[2]Setup!$V$19,'[2]Country populations'!AY102,'[2]Country populations'!BJ102)</f>
        <v>44</v>
      </c>
      <c r="AF101" s="40">
        <f>IF([2]Setup!$B$21=[2]Setup!$V$19,'[2]Country populations'!AZ102,'[2]Country populations'!BK102)</f>
        <v>43</v>
      </c>
      <c r="AG101" s="40">
        <f>IF([2]Setup!$B$21=[2]Setup!$V$19,'[2]Country populations'!BA102,'[2]Country populations'!BL102)</f>
        <v>42</v>
      </c>
      <c r="AH101" s="40">
        <f>IF([2]Setup!$B$21=[2]Setup!$V$19,'[2]Country populations'!BB102,'[2]Country populations'!BM102)</f>
        <v>41</v>
      </c>
      <c r="AI101" s="40">
        <f>IF([2]Setup!$B$21=[2]Setup!$V$19,'[2]Country populations'!BC102,'[2]Country populations'!BN102)</f>
        <v>39</v>
      </c>
      <c r="AJ101" s="40">
        <f>IF([2]Setup!$B$21=[2]Setup!$V$19,'[2]Country populations'!BD102,'[2]Country populations'!BO102)</f>
        <v>38</v>
      </c>
    </row>
    <row r="102" spans="1:36" x14ac:dyDescent="0.25">
      <c r="A102" t="str">
        <f>'[2]Country populations'!A103</f>
        <v>Lebanon</v>
      </c>
      <c r="B102" s="40">
        <f>IF([2]Setup!$B$19=[2]Setup!$T$19,'[2]Country populations'!B103,'[2]Country populations'!M103)</f>
        <v>3701</v>
      </c>
      <c r="C102" s="40">
        <f>IF([2]Setup!$B$19=[2]Setup!$T$19,'[2]Country populations'!C103,'[2]Country populations'!N103)</f>
        <v>3738</v>
      </c>
      <c r="D102" s="40">
        <f>IF([2]Setup!$B$19=[2]Setup!$T$19,'[2]Country populations'!D103,'[2]Country populations'!O103)</f>
        <v>3744</v>
      </c>
      <c r="E102" s="40">
        <f>IF([2]Setup!$B$19=[2]Setup!$T$19,'[2]Country populations'!E103,'[2]Country populations'!P103)</f>
        <v>3749</v>
      </c>
      <c r="F102" s="40">
        <f>IF([2]Setup!$B$19=[2]Setup!$T$19,'[2]Country populations'!F103,'[2]Country populations'!Q103)</f>
        <v>3767</v>
      </c>
      <c r="G102" s="40">
        <f>IF([2]Setup!$B$19=[2]Setup!$T$19,'[2]Country populations'!G103,'[2]Country populations'!R103)</f>
        <v>3830</v>
      </c>
      <c r="H102" s="40">
        <f>IF([2]Setup!$B$19=[2]Setup!$T$19,'[2]Country populations'!H103,'[2]Country populations'!S103)</f>
        <v>3896</v>
      </c>
      <c r="I102" s="40">
        <f>IF([2]Setup!$B$19=[2]Setup!$T$19,'[2]Country populations'!I103,'[2]Country populations'!T103)</f>
        <v>3961</v>
      </c>
      <c r="J102" s="40">
        <f>IF([2]Setup!$B$19=[2]Setup!$T$19,'[2]Country populations'!J103,'[2]Country populations'!U103)</f>
        <v>4025</v>
      </c>
      <c r="K102" s="40">
        <f>IF([2]Setup!$B$19=[2]Setup!$T$19,'[2]Country populations'!K103,'[2]Country populations'!V103)</f>
        <v>4087</v>
      </c>
      <c r="L102" s="40">
        <f>IF([2]Setup!$B$19=[2]Setup!$T$19,'[2]Country populations'!L103,'[2]Country populations'!W103)</f>
        <v>4146</v>
      </c>
      <c r="M102" s="40" t="str">
        <f t="shared" si="4"/>
        <v>Lebanon</v>
      </c>
      <c r="N102" s="40">
        <f>IF([2]Setup!$B$20=[2]Setup!$U$19,'[2]Country populations'!X103,'[2]Country populations'!AI103)</f>
        <v>102</v>
      </c>
      <c r="O102" s="40">
        <f>IF([2]Setup!$B$20=[2]Setup!$U$19,'[2]Country populations'!Y103,'[2]Country populations'!AJ103)</f>
        <v>104</v>
      </c>
      <c r="P102" s="40">
        <f>IF([2]Setup!$B$20=[2]Setup!$U$19,'[2]Country populations'!Z103,'[2]Country populations'!AK103)</f>
        <v>106</v>
      </c>
      <c r="Q102" s="40">
        <f>IF([2]Setup!$B$20=[2]Setup!$U$19,'[2]Country populations'!AA103,'[2]Country populations'!AL103)</f>
        <v>108</v>
      </c>
      <c r="R102" s="40">
        <f>IF([2]Setup!$B$20=[2]Setup!$U$19,'[2]Country populations'!AB103,'[2]Country populations'!AM103)</f>
        <v>110</v>
      </c>
      <c r="S102" s="40">
        <f>IF([2]Setup!$B$20=[2]Setup!$U$19,'[2]Country populations'!AC103,'[2]Country populations'!AN103)</f>
        <v>114</v>
      </c>
      <c r="T102" s="40">
        <f>IF([2]Setup!$B$20=[2]Setup!$U$19,'[2]Country populations'!AD103,'[2]Country populations'!AO103)</f>
        <v>117</v>
      </c>
      <c r="U102" s="40">
        <f>IF([2]Setup!$B$20=[2]Setup!$U$19,'[2]Country populations'!AE103,'[2]Country populations'!AP103)</f>
        <v>120</v>
      </c>
      <c r="V102" s="40">
        <f>IF([2]Setup!$B$20=[2]Setup!$U$19,'[2]Country populations'!AF103,'[2]Country populations'!AQ103)</f>
        <v>124</v>
      </c>
      <c r="W102" s="40">
        <f>IF([2]Setup!$B$20=[2]Setup!$U$19,'[2]Country populations'!AG103,'[2]Country populations'!AR103)</f>
        <v>127</v>
      </c>
      <c r="X102" s="40">
        <f>IF([2]Setup!$B$20=[2]Setup!$U$19,'[2]Country populations'!AH103,'[2]Country populations'!AS103)</f>
        <v>129</v>
      </c>
      <c r="Y102" s="40" t="str">
        <f t="shared" si="5"/>
        <v>Lebanon</v>
      </c>
      <c r="Z102" s="40">
        <f>IF([2]Setup!$B$21=[2]Setup!$V$19,'[2]Country populations'!AT103,'[2]Country populations'!BE103)</f>
        <v>41</v>
      </c>
      <c r="AA102" s="40">
        <f>IF([2]Setup!$B$21=[2]Setup!$V$19,'[2]Country populations'!AU103,'[2]Country populations'!BF103)</f>
        <v>42</v>
      </c>
      <c r="AB102" s="40">
        <f>IF([2]Setup!$B$21=[2]Setup!$V$19,'[2]Country populations'!AV103,'[2]Country populations'!BG103)</f>
        <v>43</v>
      </c>
      <c r="AC102" s="40">
        <f>IF([2]Setup!$B$21=[2]Setup!$V$19,'[2]Country populations'!AW103,'[2]Country populations'!BH103)</f>
        <v>43</v>
      </c>
      <c r="AD102" s="40">
        <f>IF([2]Setup!$B$21=[2]Setup!$V$19,'[2]Country populations'!AX103,'[2]Country populations'!BI103)</f>
        <v>43</v>
      </c>
      <c r="AE102" s="40">
        <f>IF([2]Setup!$B$21=[2]Setup!$V$19,'[2]Country populations'!AY103,'[2]Country populations'!BJ103)</f>
        <v>43</v>
      </c>
      <c r="AF102" s="40">
        <f>IF([2]Setup!$B$21=[2]Setup!$V$19,'[2]Country populations'!AZ103,'[2]Country populations'!BK103)</f>
        <v>44</v>
      </c>
      <c r="AG102" s="40">
        <f>IF([2]Setup!$B$21=[2]Setup!$V$19,'[2]Country populations'!BA103,'[2]Country populations'!BL103)</f>
        <v>44</v>
      </c>
      <c r="AH102" s="40">
        <f>IF([2]Setup!$B$21=[2]Setup!$V$19,'[2]Country populations'!BB103,'[2]Country populations'!BM103)</f>
        <v>44</v>
      </c>
      <c r="AI102" s="40">
        <f>IF([2]Setup!$B$21=[2]Setup!$V$19,'[2]Country populations'!BC103,'[2]Country populations'!BN103)</f>
        <v>44</v>
      </c>
      <c r="AJ102" s="40">
        <f>IF([2]Setup!$B$21=[2]Setup!$V$19,'[2]Country populations'!BD103,'[2]Country populations'!BO103)</f>
        <v>44</v>
      </c>
    </row>
    <row r="103" spans="1:36" x14ac:dyDescent="0.25">
      <c r="A103" t="str">
        <f>'[2]Country populations'!A104</f>
        <v>Lesotho</v>
      </c>
      <c r="B103" s="40">
        <f>IF([2]Setup!$B$19=[2]Setup!$T$19,'[2]Country populations'!B104,'[2]Country populations'!M104)</f>
        <v>325599</v>
      </c>
      <c r="C103" s="40">
        <f>IF([2]Setup!$B$19=[2]Setup!$T$19,'[2]Country populations'!C104,'[2]Country populations'!N104)</f>
        <v>330230</v>
      </c>
      <c r="D103" s="40">
        <f>IF([2]Setup!$B$19=[2]Setup!$T$19,'[2]Country populations'!D104,'[2]Country populations'!O104)</f>
        <v>334031</v>
      </c>
      <c r="E103" s="40">
        <f>IF([2]Setup!$B$19=[2]Setup!$T$19,'[2]Country populations'!E104,'[2]Country populations'!P104)</f>
        <v>337318</v>
      </c>
      <c r="F103" s="40">
        <f>IF([2]Setup!$B$19=[2]Setup!$T$19,'[2]Country populations'!F104,'[2]Country populations'!Q104)</f>
        <v>340210</v>
      </c>
      <c r="G103" s="40">
        <f>IF([2]Setup!$B$19=[2]Setup!$T$19,'[2]Country populations'!G104,'[2]Country populations'!R104)</f>
        <v>342713</v>
      </c>
      <c r="H103" s="40">
        <f>IF([2]Setup!$B$19=[2]Setup!$T$19,'[2]Country populations'!H104,'[2]Country populations'!S104)</f>
        <v>345067</v>
      </c>
      <c r="I103" s="40">
        <f>IF([2]Setup!$B$19=[2]Setup!$T$19,'[2]Country populations'!I104,'[2]Country populations'!T104)</f>
        <v>347178</v>
      </c>
      <c r="J103" s="40">
        <f>IF([2]Setup!$B$19=[2]Setup!$T$19,'[2]Country populations'!J104,'[2]Country populations'!U104)</f>
        <v>349060</v>
      </c>
      <c r="K103" s="40">
        <f>IF([2]Setup!$B$19=[2]Setup!$T$19,'[2]Country populations'!K104,'[2]Country populations'!V104)</f>
        <v>350601</v>
      </c>
      <c r="L103" s="40">
        <f>IF([2]Setup!$B$19=[2]Setup!$T$19,'[2]Country populations'!L104,'[2]Country populations'!W104)</f>
        <v>351951</v>
      </c>
      <c r="M103" s="40" t="str">
        <f t="shared" si="4"/>
        <v>Lesotho</v>
      </c>
      <c r="N103" s="40">
        <f>IF([2]Setup!$B$20=[2]Setup!$U$19,'[2]Country populations'!X104,'[2]Country populations'!AI104)</f>
        <v>21757</v>
      </c>
      <c r="O103" s="40">
        <f>IF([2]Setup!$B$20=[2]Setup!$U$19,'[2]Country populations'!Y104,'[2]Country populations'!AJ104)</f>
        <v>20075</v>
      </c>
      <c r="P103" s="40">
        <f>IF([2]Setup!$B$20=[2]Setup!$U$19,'[2]Country populations'!Z104,'[2]Country populations'!AK104)</f>
        <v>18466</v>
      </c>
      <c r="Q103" s="40">
        <f>IF([2]Setup!$B$20=[2]Setup!$U$19,'[2]Country populations'!AA104,'[2]Country populations'!AL104)</f>
        <v>16716</v>
      </c>
      <c r="R103" s="40">
        <f>IF([2]Setup!$B$20=[2]Setup!$U$19,'[2]Country populations'!AB104,'[2]Country populations'!AM104)</f>
        <v>14925</v>
      </c>
      <c r="S103" s="40">
        <f>IF([2]Setup!$B$20=[2]Setup!$U$19,'[2]Country populations'!AC104,'[2]Country populations'!AN104)</f>
        <v>14117</v>
      </c>
      <c r="T103" s="40">
        <f>IF([2]Setup!$B$20=[2]Setup!$U$19,'[2]Country populations'!AD104,'[2]Country populations'!AO104)</f>
        <v>12778</v>
      </c>
      <c r="U103" s="40">
        <f>IF([2]Setup!$B$20=[2]Setup!$U$19,'[2]Country populations'!AE104,'[2]Country populations'!AP104)</f>
        <v>11436</v>
      </c>
      <c r="V103" s="40">
        <f>IF([2]Setup!$B$20=[2]Setup!$U$19,'[2]Country populations'!AF104,'[2]Country populations'!AQ104)</f>
        <v>10093</v>
      </c>
      <c r="W103" s="40">
        <f>IF([2]Setup!$B$20=[2]Setup!$U$19,'[2]Country populations'!AG104,'[2]Country populations'!AR104)</f>
        <v>9235</v>
      </c>
      <c r="X103" s="40">
        <f>IF([2]Setup!$B$20=[2]Setup!$U$19,'[2]Country populations'!AH104,'[2]Country populations'!AS104)</f>
        <v>8491</v>
      </c>
      <c r="Y103" s="40" t="str">
        <f t="shared" si="5"/>
        <v>Lesotho</v>
      </c>
      <c r="Z103" s="40">
        <f>IF([2]Setup!$B$21=[2]Setup!$V$19,'[2]Country populations'!AT104,'[2]Country populations'!BE104)</f>
        <v>14285</v>
      </c>
      <c r="AA103" s="40">
        <f>IF([2]Setup!$B$21=[2]Setup!$V$19,'[2]Country populations'!AU104,'[2]Country populations'!BF104)</f>
        <v>13966</v>
      </c>
      <c r="AB103" s="40">
        <f>IF([2]Setup!$B$21=[2]Setup!$V$19,'[2]Country populations'!AV104,'[2]Country populations'!BG104)</f>
        <v>13566</v>
      </c>
      <c r="AC103" s="40">
        <f>IF([2]Setup!$B$21=[2]Setup!$V$19,'[2]Country populations'!AW104,'[2]Country populations'!BH104)</f>
        <v>13095</v>
      </c>
      <c r="AD103" s="40">
        <f>IF([2]Setup!$B$21=[2]Setup!$V$19,'[2]Country populations'!AX104,'[2]Country populations'!BI104)</f>
        <v>12603</v>
      </c>
      <c r="AE103" s="40">
        <f>IF([2]Setup!$B$21=[2]Setup!$V$19,'[2]Country populations'!AY104,'[2]Country populations'!BJ104)</f>
        <v>12105</v>
      </c>
      <c r="AF103" s="40">
        <f>IF([2]Setup!$B$21=[2]Setup!$V$19,'[2]Country populations'!AZ104,'[2]Country populations'!BK104)</f>
        <v>11617</v>
      </c>
      <c r="AG103" s="40">
        <f>IF([2]Setup!$B$21=[2]Setup!$V$19,'[2]Country populations'!BA104,'[2]Country populations'!BL104)</f>
        <v>11151</v>
      </c>
      <c r="AH103" s="40">
        <f>IF([2]Setup!$B$21=[2]Setup!$V$19,'[2]Country populations'!BB104,'[2]Country populations'!BM104)</f>
        <v>10714</v>
      </c>
      <c r="AI103" s="40">
        <f>IF([2]Setup!$B$21=[2]Setup!$V$19,'[2]Country populations'!BC104,'[2]Country populations'!BN104)</f>
        <v>10308</v>
      </c>
      <c r="AJ103" s="40">
        <f>IF([2]Setup!$B$21=[2]Setup!$V$19,'[2]Country populations'!BD104,'[2]Country populations'!BO104)</f>
        <v>9935</v>
      </c>
    </row>
    <row r="104" spans="1:36" x14ac:dyDescent="0.25">
      <c r="A104" t="str">
        <f>'[2]Country populations'!A105</f>
        <v>Liberia</v>
      </c>
      <c r="B104" s="40">
        <f>IF([2]Setup!$B$19=[2]Setup!$T$19,'[2]Country populations'!B105,'[2]Country populations'!M105)</f>
        <v>26270</v>
      </c>
      <c r="C104" s="40">
        <f>IF([2]Setup!$B$19=[2]Setup!$T$19,'[2]Country populations'!C105,'[2]Country populations'!N105)</f>
        <v>25367</v>
      </c>
      <c r="D104" s="40">
        <f>IF([2]Setup!$B$19=[2]Setup!$T$19,'[2]Country populations'!D105,'[2]Country populations'!O105)</f>
        <v>24479</v>
      </c>
      <c r="E104" s="40">
        <f>IF([2]Setup!$B$19=[2]Setup!$T$19,'[2]Country populations'!E105,'[2]Country populations'!P105)</f>
        <v>23631</v>
      </c>
      <c r="F104" s="40">
        <f>IF([2]Setup!$B$19=[2]Setup!$T$19,'[2]Country populations'!F105,'[2]Country populations'!Q105)</f>
        <v>22843</v>
      </c>
      <c r="G104" s="40">
        <f>IF([2]Setup!$B$19=[2]Setup!$T$19,'[2]Country populations'!G105,'[2]Country populations'!R105)</f>
        <v>22101</v>
      </c>
      <c r="H104" s="40">
        <f>IF([2]Setup!$B$19=[2]Setup!$T$19,'[2]Country populations'!H105,'[2]Country populations'!S105)</f>
        <v>21460</v>
      </c>
      <c r="I104" s="40">
        <f>IF([2]Setup!$B$19=[2]Setup!$T$19,'[2]Country populations'!I105,'[2]Country populations'!T105)</f>
        <v>20907</v>
      </c>
      <c r="J104" s="40">
        <f>IF([2]Setup!$B$19=[2]Setup!$T$19,'[2]Country populations'!J105,'[2]Country populations'!U105)</f>
        <v>20426</v>
      </c>
      <c r="K104" s="40">
        <f>IF([2]Setup!$B$19=[2]Setup!$T$19,'[2]Country populations'!K105,'[2]Country populations'!V105)</f>
        <v>20021</v>
      </c>
      <c r="L104" s="40">
        <f>IF([2]Setup!$B$19=[2]Setup!$T$19,'[2]Country populations'!L105,'[2]Country populations'!W105)</f>
        <v>19684</v>
      </c>
      <c r="M104" s="40" t="str">
        <f t="shared" si="4"/>
        <v>Liberia</v>
      </c>
      <c r="N104" s="40">
        <f>IF([2]Setup!$B$20=[2]Setup!$U$19,'[2]Country populations'!X105,'[2]Country populations'!AI105)</f>
        <v>4338</v>
      </c>
      <c r="O104" s="40">
        <f>IF([2]Setup!$B$20=[2]Setup!$U$19,'[2]Country populations'!Y105,'[2]Country populations'!AJ105)</f>
        <v>4050</v>
      </c>
      <c r="P104" s="40">
        <f>IF([2]Setup!$B$20=[2]Setup!$U$19,'[2]Country populations'!Z105,'[2]Country populations'!AK105)</f>
        <v>3783</v>
      </c>
      <c r="Q104" s="40">
        <f>IF([2]Setup!$B$20=[2]Setup!$U$19,'[2]Country populations'!AA105,'[2]Country populations'!AL105)</f>
        <v>3544</v>
      </c>
      <c r="R104" s="40">
        <f>IF([2]Setup!$B$20=[2]Setup!$U$19,'[2]Country populations'!AB105,'[2]Country populations'!AM105)</f>
        <v>3331</v>
      </c>
      <c r="S104" s="40">
        <f>IF([2]Setup!$B$20=[2]Setup!$U$19,'[2]Country populations'!AC105,'[2]Country populations'!AN105)</f>
        <v>3054</v>
      </c>
      <c r="T104" s="40">
        <f>IF([2]Setup!$B$20=[2]Setup!$U$19,'[2]Country populations'!AD105,'[2]Country populations'!AO105)</f>
        <v>2808</v>
      </c>
      <c r="U104" s="40">
        <f>IF([2]Setup!$B$20=[2]Setup!$U$19,'[2]Country populations'!AE105,'[2]Country populations'!AP105)</f>
        <v>2578</v>
      </c>
      <c r="V104" s="40">
        <f>IF([2]Setup!$B$20=[2]Setup!$U$19,'[2]Country populations'!AF105,'[2]Country populations'!AQ105)</f>
        <v>2378</v>
      </c>
      <c r="W104" s="40">
        <f>IF([2]Setup!$B$20=[2]Setup!$U$19,'[2]Country populations'!AG105,'[2]Country populations'!AR105)</f>
        <v>2192</v>
      </c>
      <c r="X104" s="40">
        <f>IF([2]Setup!$B$20=[2]Setup!$U$19,'[2]Country populations'!AH105,'[2]Country populations'!AS105)</f>
        <v>2031</v>
      </c>
      <c r="Y104" s="40" t="str">
        <f t="shared" si="5"/>
        <v>Liberia</v>
      </c>
      <c r="Z104" s="40">
        <f>IF([2]Setup!$B$21=[2]Setup!$V$19,'[2]Country populations'!AT105,'[2]Country populations'!BE105)</f>
        <v>1331</v>
      </c>
      <c r="AA104" s="40">
        <f>IF([2]Setup!$B$21=[2]Setup!$V$19,'[2]Country populations'!AU105,'[2]Country populations'!BF105)</f>
        <v>1244</v>
      </c>
      <c r="AB104" s="40">
        <f>IF([2]Setup!$B$21=[2]Setup!$V$19,'[2]Country populations'!AV105,'[2]Country populations'!BG105)</f>
        <v>1164</v>
      </c>
      <c r="AC104" s="40">
        <f>IF([2]Setup!$B$21=[2]Setup!$V$19,'[2]Country populations'!AW105,'[2]Country populations'!BH105)</f>
        <v>1090</v>
      </c>
      <c r="AD104" s="40">
        <f>IF([2]Setup!$B$21=[2]Setup!$V$19,'[2]Country populations'!AX105,'[2]Country populations'!BI105)</f>
        <v>1025</v>
      </c>
      <c r="AE104" s="40">
        <f>IF([2]Setup!$B$21=[2]Setup!$V$19,'[2]Country populations'!AY105,'[2]Country populations'!BJ105)</f>
        <v>967</v>
      </c>
      <c r="AF104" s="40">
        <f>IF([2]Setup!$B$21=[2]Setup!$V$19,'[2]Country populations'!AZ105,'[2]Country populations'!BK105)</f>
        <v>915</v>
      </c>
      <c r="AG104" s="40">
        <f>IF([2]Setup!$B$21=[2]Setup!$V$19,'[2]Country populations'!BA105,'[2]Country populations'!BL105)</f>
        <v>869</v>
      </c>
      <c r="AH104" s="40">
        <f>IF([2]Setup!$B$21=[2]Setup!$V$19,'[2]Country populations'!BB105,'[2]Country populations'!BM105)</f>
        <v>830</v>
      </c>
      <c r="AI104" s="40">
        <f>IF([2]Setup!$B$21=[2]Setup!$V$19,'[2]Country populations'!BC105,'[2]Country populations'!BN105)</f>
        <v>796</v>
      </c>
      <c r="AJ104" s="40">
        <f>IF([2]Setup!$B$21=[2]Setup!$V$19,'[2]Country populations'!BD105,'[2]Country populations'!BO105)</f>
        <v>768</v>
      </c>
    </row>
    <row r="105" spans="1:36" x14ac:dyDescent="0.25">
      <c r="A105" t="str">
        <f>'[2]Country populations'!A106</f>
        <v>Libyan Arab Jamahiriya</v>
      </c>
      <c r="B105" s="40">
        <f>IF([2]Setup!$B$19=[2]Setup!$T$19,'[2]Country populations'!B106,'[2]Country populations'!M106)</f>
        <v>0</v>
      </c>
      <c r="C105" s="40">
        <f>IF([2]Setup!$B$19=[2]Setup!$T$19,'[2]Country populations'!C106,'[2]Country populations'!N106)</f>
        <v>0</v>
      </c>
      <c r="D105" s="40">
        <f>IF([2]Setup!$B$19=[2]Setup!$T$19,'[2]Country populations'!D106,'[2]Country populations'!O106)</f>
        <v>0</v>
      </c>
      <c r="E105" s="40">
        <f>IF([2]Setup!$B$19=[2]Setup!$T$19,'[2]Country populations'!E106,'[2]Country populations'!P106)</f>
        <v>0</v>
      </c>
      <c r="F105" s="40">
        <f>IF([2]Setup!$B$19=[2]Setup!$T$19,'[2]Country populations'!F106,'[2]Country populations'!Q106)</f>
        <v>0</v>
      </c>
      <c r="G105" s="40">
        <f>IF([2]Setup!$B$19=[2]Setup!$T$19,'[2]Country populations'!G106,'[2]Country populations'!R106)</f>
        <v>0</v>
      </c>
      <c r="H105" s="40">
        <f>IF([2]Setup!$B$19=[2]Setup!$T$19,'[2]Country populations'!H106,'[2]Country populations'!S106)</f>
        <v>0</v>
      </c>
      <c r="I105" s="40">
        <f>IF([2]Setup!$B$19=[2]Setup!$T$19,'[2]Country populations'!I106,'[2]Country populations'!T106)</f>
        <v>0</v>
      </c>
      <c r="J105" s="40">
        <f>IF([2]Setup!$B$19=[2]Setup!$T$19,'[2]Country populations'!J106,'[2]Country populations'!U106)</f>
        <v>0</v>
      </c>
      <c r="K105" s="40">
        <f>IF([2]Setup!$B$19=[2]Setup!$T$19,'[2]Country populations'!K106,'[2]Country populations'!V106)</f>
        <v>0</v>
      </c>
      <c r="L105" s="40">
        <f>IF([2]Setup!$B$19=[2]Setup!$T$19,'[2]Country populations'!L106,'[2]Country populations'!W106)</f>
        <v>0</v>
      </c>
      <c r="M105" s="40" t="str">
        <f t="shared" si="4"/>
        <v>Libyan Arab Jamahiriya</v>
      </c>
      <c r="N105" s="40">
        <f>IF([2]Setup!$B$20=[2]Setup!$U$19,'[2]Country populations'!X106,'[2]Country populations'!AI106)</f>
        <v>0</v>
      </c>
      <c r="O105" s="40">
        <f>IF([2]Setup!$B$20=[2]Setup!$U$19,'[2]Country populations'!Y106,'[2]Country populations'!AJ106)</f>
        <v>0</v>
      </c>
      <c r="P105" s="40">
        <f>IF([2]Setup!$B$20=[2]Setup!$U$19,'[2]Country populations'!Z106,'[2]Country populations'!AK106)</f>
        <v>0</v>
      </c>
      <c r="Q105" s="40">
        <f>IF([2]Setup!$B$20=[2]Setup!$U$19,'[2]Country populations'!AA106,'[2]Country populations'!AL106)</f>
        <v>0</v>
      </c>
      <c r="R105" s="40">
        <f>IF([2]Setup!$B$20=[2]Setup!$U$19,'[2]Country populations'!AB106,'[2]Country populations'!AM106)</f>
        <v>0</v>
      </c>
      <c r="S105" s="40">
        <f>IF([2]Setup!$B$20=[2]Setup!$U$19,'[2]Country populations'!AC106,'[2]Country populations'!AN106)</f>
        <v>0</v>
      </c>
      <c r="T105" s="40">
        <f>IF([2]Setup!$B$20=[2]Setup!$U$19,'[2]Country populations'!AD106,'[2]Country populations'!AO106)</f>
        <v>0</v>
      </c>
      <c r="U105" s="40">
        <f>IF([2]Setup!$B$20=[2]Setup!$U$19,'[2]Country populations'!AE106,'[2]Country populations'!AP106)</f>
        <v>0</v>
      </c>
      <c r="V105" s="40">
        <f>IF([2]Setup!$B$20=[2]Setup!$U$19,'[2]Country populations'!AF106,'[2]Country populations'!AQ106)</f>
        <v>0</v>
      </c>
      <c r="W105" s="40">
        <f>IF([2]Setup!$B$20=[2]Setup!$U$19,'[2]Country populations'!AG106,'[2]Country populations'!AR106)</f>
        <v>0</v>
      </c>
      <c r="X105" s="40">
        <f>IF([2]Setup!$B$20=[2]Setup!$U$19,'[2]Country populations'!AH106,'[2]Country populations'!AS106)</f>
        <v>0</v>
      </c>
      <c r="Y105" s="40" t="str">
        <f t="shared" si="5"/>
        <v>Libyan Arab Jamahiriya</v>
      </c>
      <c r="Z105" s="40">
        <f>IF([2]Setup!$B$21=[2]Setup!$V$19,'[2]Country populations'!AT106,'[2]Country populations'!BE106)</f>
        <v>0</v>
      </c>
      <c r="AA105" s="40">
        <f>IF([2]Setup!$B$21=[2]Setup!$V$19,'[2]Country populations'!AU106,'[2]Country populations'!BF106)</f>
        <v>0</v>
      </c>
      <c r="AB105" s="40">
        <f>IF([2]Setup!$B$21=[2]Setup!$V$19,'[2]Country populations'!AV106,'[2]Country populations'!BG106)</f>
        <v>0</v>
      </c>
      <c r="AC105" s="40">
        <f>IF([2]Setup!$B$21=[2]Setup!$V$19,'[2]Country populations'!AW106,'[2]Country populations'!BH106)</f>
        <v>0</v>
      </c>
      <c r="AD105" s="40">
        <f>IF([2]Setup!$B$21=[2]Setup!$V$19,'[2]Country populations'!AX106,'[2]Country populations'!BI106)</f>
        <v>0</v>
      </c>
      <c r="AE105" s="40">
        <f>IF([2]Setup!$B$21=[2]Setup!$V$19,'[2]Country populations'!AY106,'[2]Country populations'!BJ106)</f>
        <v>0</v>
      </c>
      <c r="AF105" s="40">
        <f>IF([2]Setup!$B$21=[2]Setup!$V$19,'[2]Country populations'!AZ106,'[2]Country populations'!BK106)</f>
        <v>0</v>
      </c>
      <c r="AG105" s="40">
        <f>IF([2]Setup!$B$21=[2]Setup!$V$19,'[2]Country populations'!BA106,'[2]Country populations'!BL106)</f>
        <v>0</v>
      </c>
      <c r="AH105" s="40">
        <f>IF([2]Setup!$B$21=[2]Setup!$V$19,'[2]Country populations'!BB106,'[2]Country populations'!BM106)</f>
        <v>0</v>
      </c>
      <c r="AI105" s="40">
        <f>IF([2]Setup!$B$21=[2]Setup!$V$19,'[2]Country populations'!BC106,'[2]Country populations'!BN106)</f>
        <v>0</v>
      </c>
      <c r="AJ105" s="40">
        <f>IF([2]Setup!$B$21=[2]Setup!$V$19,'[2]Country populations'!BD106,'[2]Country populations'!BO106)</f>
        <v>0</v>
      </c>
    </row>
    <row r="106" spans="1:36" x14ac:dyDescent="0.25">
      <c r="A106" t="str">
        <f>'[2]Country populations'!A107</f>
        <v>Lithuania</v>
      </c>
      <c r="B106" s="40">
        <f>IF([2]Setup!$B$19=[2]Setup!$T$19,'[2]Country populations'!B107,'[2]Country populations'!M107)</f>
        <v>2113</v>
      </c>
      <c r="C106" s="40">
        <f>IF([2]Setup!$B$19=[2]Setup!$T$19,'[2]Country populations'!C107,'[2]Country populations'!N107)</f>
        <v>2163</v>
      </c>
      <c r="D106" s="40">
        <f>IF([2]Setup!$B$19=[2]Setup!$T$19,'[2]Country populations'!D107,'[2]Country populations'!O107)</f>
        <v>2205</v>
      </c>
      <c r="E106" s="40">
        <f>IF([2]Setup!$B$19=[2]Setup!$T$19,'[2]Country populations'!E107,'[2]Country populations'!P107)</f>
        <v>2240</v>
      </c>
      <c r="F106" s="40">
        <f>IF([2]Setup!$B$19=[2]Setup!$T$19,'[2]Country populations'!F107,'[2]Country populations'!Q107)</f>
        <v>2270</v>
      </c>
      <c r="G106" s="40">
        <f>IF([2]Setup!$B$19=[2]Setup!$T$19,'[2]Country populations'!G107,'[2]Country populations'!R107)</f>
        <v>2295</v>
      </c>
      <c r="H106" s="40">
        <f>IF([2]Setup!$B$19=[2]Setup!$T$19,'[2]Country populations'!H107,'[2]Country populations'!S107)</f>
        <v>2315</v>
      </c>
      <c r="I106" s="40">
        <f>IF([2]Setup!$B$19=[2]Setup!$T$19,'[2]Country populations'!I107,'[2]Country populations'!T107)</f>
        <v>2329</v>
      </c>
      <c r="J106" s="40">
        <f>IF([2]Setup!$B$19=[2]Setup!$T$19,'[2]Country populations'!J107,'[2]Country populations'!U107)</f>
        <v>2339</v>
      </c>
      <c r="K106" s="40">
        <f>IF([2]Setup!$B$19=[2]Setup!$T$19,'[2]Country populations'!K107,'[2]Country populations'!V107)</f>
        <v>2345</v>
      </c>
      <c r="L106" s="40">
        <f>IF([2]Setup!$B$19=[2]Setup!$T$19,'[2]Country populations'!L107,'[2]Country populations'!W107)</f>
        <v>2347</v>
      </c>
      <c r="M106" s="40" t="str">
        <f t="shared" si="4"/>
        <v>Lithuania</v>
      </c>
      <c r="N106" s="40">
        <f>IF([2]Setup!$B$20=[2]Setup!$U$19,'[2]Country populations'!X107,'[2]Country populations'!AI107)</f>
        <v>14</v>
      </c>
      <c r="O106" s="40">
        <f>IF([2]Setup!$B$20=[2]Setup!$U$19,'[2]Country populations'!Y107,'[2]Country populations'!AJ107)</f>
        <v>18</v>
      </c>
      <c r="P106" s="40">
        <f>IF([2]Setup!$B$20=[2]Setup!$U$19,'[2]Country populations'!Z107,'[2]Country populations'!AK107)</f>
        <v>21</v>
      </c>
      <c r="Q106" s="40">
        <f>IF([2]Setup!$B$20=[2]Setup!$U$19,'[2]Country populations'!AA107,'[2]Country populations'!AL107)</f>
        <v>25</v>
      </c>
      <c r="R106" s="40">
        <f>IF([2]Setup!$B$20=[2]Setup!$U$19,'[2]Country populations'!AB107,'[2]Country populations'!AM107)</f>
        <v>28</v>
      </c>
      <c r="S106" s="40">
        <f>IF([2]Setup!$B$20=[2]Setup!$U$19,'[2]Country populations'!AC107,'[2]Country populations'!AN107)</f>
        <v>32</v>
      </c>
      <c r="T106" s="40">
        <f>IF([2]Setup!$B$20=[2]Setup!$U$19,'[2]Country populations'!AD107,'[2]Country populations'!AO107)</f>
        <v>35</v>
      </c>
      <c r="U106" s="40">
        <f>IF([2]Setup!$B$20=[2]Setup!$U$19,'[2]Country populations'!AE107,'[2]Country populations'!AP107)</f>
        <v>38</v>
      </c>
      <c r="V106" s="40">
        <f>IF([2]Setup!$B$20=[2]Setup!$U$19,'[2]Country populations'!AF107,'[2]Country populations'!AQ107)</f>
        <v>41</v>
      </c>
      <c r="W106" s="40">
        <f>IF([2]Setup!$B$20=[2]Setup!$U$19,'[2]Country populations'!AG107,'[2]Country populations'!AR107)</f>
        <v>44</v>
      </c>
      <c r="X106" s="40">
        <f>IF([2]Setup!$B$20=[2]Setup!$U$19,'[2]Country populations'!AH107,'[2]Country populations'!AS107)</f>
        <v>47</v>
      </c>
      <c r="Y106" s="40" t="str">
        <f t="shared" si="5"/>
        <v>Lithuania</v>
      </c>
      <c r="Z106" s="40">
        <f>IF([2]Setup!$B$21=[2]Setup!$V$19,'[2]Country populations'!AT107,'[2]Country populations'!BE107)</f>
        <v>7</v>
      </c>
      <c r="AA106" s="40">
        <f>IF([2]Setup!$B$21=[2]Setup!$V$19,'[2]Country populations'!AU107,'[2]Country populations'!BF107)</f>
        <v>7</v>
      </c>
      <c r="AB106" s="40">
        <f>IF([2]Setup!$B$21=[2]Setup!$V$19,'[2]Country populations'!AV107,'[2]Country populations'!BG107)</f>
        <v>7</v>
      </c>
      <c r="AC106" s="40">
        <f>IF([2]Setup!$B$21=[2]Setup!$V$19,'[2]Country populations'!AW107,'[2]Country populations'!BH107)</f>
        <v>7</v>
      </c>
      <c r="AD106" s="40">
        <f>IF([2]Setup!$B$21=[2]Setup!$V$19,'[2]Country populations'!AX107,'[2]Country populations'!BI107)</f>
        <v>7</v>
      </c>
      <c r="AE106" s="40">
        <f>IF([2]Setup!$B$21=[2]Setup!$V$19,'[2]Country populations'!AY107,'[2]Country populations'!BJ107)</f>
        <v>7</v>
      </c>
      <c r="AF106" s="40">
        <f>IF([2]Setup!$B$21=[2]Setup!$V$19,'[2]Country populations'!AZ107,'[2]Country populations'!BK107)</f>
        <v>7</v>
      </c>
      <c r="AG106" s="40">
        <f>IF([2]Setup!$B$21=[2]Setup!$V$19,'[2]Country populations'!BA107,'[2]Country populations'!BL107)</f>
        <v>7</v>
      </c>
      <c r="AH106" s="40">
        <f>IF([2]Setup!$B$21=[2]Setup!$V$19,'[2]Country populations'!BB107,'[2]Country populations'!BM107)</f>
        <v>7</v>
      </c>
      <c r="AI106" s="40">
        <f>IF([2]Setup!$B$21=[2]Setup!$V$19,'[2]Country populations'!BC107,'[2]Country populations'!BN107)</f>
        <v>7</v>
      </c>
      <c r="AJ106" s="40">
        <f>IF([2]Setup!$B$21=[2]Setup!$V$19,'[2]Country populations'!BD107,'[2]Country populations'!BO107)</f>
        <v>7</v>
      </c>
    </row>
    <row r="107" spans="1:36" x14ac:dyDescent="0.25">
      <c r="A107" t="str">
        <f>'[2]Country populations'!A108</f>
        <v>Luxembourg</v>
      </c>
      <c r="B107" s="40">
        <f>IF([2]Setup!$B$19=[2]Setup!$T$19,'[2]Country populations'!B108,'[2]Country populations'!M108)</f>
        <v>1610</v>
      </c>
      <c r="C107" s="40">
        <f>IF([2]Setup!$B$19=[2]Setup!$T$19,'[2]Country populations'!C108,'[2]Country populations'!N108)</f>
        <v>1667</v>
      </c>
      <c r="D107" s="40">
        <f>IF([2]Setup!$B$19=[2]Setup!$T$19,'[2]Country populations'!D108,'[2]Country populations'!O108)</f>
        <v>1722</v>
      </c>
      <c r="E107" s="40">
        <f>IF([2]Setup!$B$19=[2]Setup!$T$19,'[2]Country populations'!E108,'[2]Country populations'!P108)</f>
        <v>1776</v>
      </c>
      <c r="F107" s="40">
        <f>IF([2]Setup!$B$19=[2]Setup!$T$19,'[2]Country populations'!F108,'[2]Country populations'!Q108)</f>
        <v>1827</v>
      </c>
      <c r="G107" s="40">
        <f>IF([2]Setup!$B$19=[2]Setup!$T$19,'[2]Country populations'!G108,'[2]Country populations'!R108)</f>
        <v>1877</v>
      </c>
      <c r="H107" s="40">
        <f>IF([2]Setup!$B$19=[2]Setup!$T$19,'[2]Country populations'!H108,'[2]Country populations'!S108)</f>
        <v>1926</v>
      </c>
      <c r="I107" s="40">
        <f>IF([2]Setup!$B$19=[2]Setup!$T$19,'[2]Country populations'!I108,'[2]Country populations'!T108)</f>
        <v>1974</v>
      </c>
      <c r="J107" s="40">
        <f>IF([2]Setup!$B$19=[2]Setup!$T$19,'[2]Country populations'!J108,'[2]Country populations'!U108)</f>
        <v>2020</v>
      </c>
      <c r="K107" s="40">
        <f>IF([2]Setup!$B$19=[2]Setup!$T$19,'[2]Country populations'!K108,'[2]Country populations'!V108)</f>
        <v>2066</v>
      </c>
      <c r="L107" s="40">
        <f>IF([2]Setup!$B$19=[2]Setup!$T$19,'[2]Country populations'!L108,'[2]Country populations'!W108)</f>
        <v>2111</v>
      </c>
      <c r="M107" s="40" t="str">
        <f t="shared" si="4"/>
        <v>Luxembourg</v>
      </c>
      <c r="N107" s="40">
        <f>IF([2]Setup!$B$20=[2]Setup!$U$19,'[2]Country populations'!X108,'[2]Country populations'!AI108)</f>
        <v>28</v>
      </c>
      <c r="O107" s="40">
        <f>IF([2]Setup!$B$20=[2]Setup!$U$19,'[2]Country populations'!Y108,'[2]Country populations'!AJ108)</f>
        <v>29</v>
      </c>
      <c r="P107" s="40">
        <f>IF([2]Setup!$B$20=[2]Setup!$U$19,'[2]Country populations'!Z108,'[2]Country populations'!AK108)</f>
        <v>29</v>
      </c>
      <c r="Q107" s="40">
        <f>IF([2]Setup!$B$20=[2]Setup!$U$19,'[2]Country populations'!AA108,'[2]Country populations'!AL108)</f>
        <v>30</v>
      </c>
      <c r="R107" s="40">
        <f>IF([2]Setup!$B$20=[2]Setup!$U$19,'[2]Country populations'!AB108,'[2]Country populations'!AM108)</f>
        <v>31</v>
      </c>
      <c r="S107" s="40">
        <f>IF([2]Setup!$B$20=[2]Setup!$U$19,'[2]Country populations'!AC108,'[2]Country populations'!AN108)</f>
        <v>32</v>
      </c>
      <c r="T107" s="40">
        <f>IF([2]Setup!$B$20=[2]Setup!$U$19,'[2]Country populations'!AD108,'[2]Country populations'!AO108)</f>
        <v>32</v>
      </c>
      <c r="U107" s="40">
        <f>IF([2]Setup!$B$20=[2]Setup!$U$19,'[2]Country populations'!AE108,'[2]Country populations'!AP108)</f>
        <v>33</v>
      </c>
      <c r="V107" s="40">
        <f>IF([2]Setup!$B$20=[2]Setup!$U$19,'[2]Country populations'!AF108,'[2]Country populations'!AQ108)</f>
        <v>33</v>
      </c>
      <c r="W107" s="40">
        <f>IF([2]Setup!$B$20=[2]Setup!$U$19,'[2]Country populations'!AG108,'[2]Country populations'!AR108)</f>
        <v>34</v>
      </c>
      <c r="X107" s="40">
        <f>IF([2]Setup!$B$20=[2]Setup!$U$19,'[2]Country populations'!AH108,'[2]Country populations'!AS108)</f>
        <v>34</v>
      </c>
      <c r="Y107" s="40" t="str">
        <f t="shared" si="5"/>
        <v>Luxembourg</v>
      </c>
      <c r="Z107" s="40">
        <f>IF([2]Setup!$B$21=[2]Setup!$V$19,'[2]Country populations'!AT108,'[2]Country populations'!BE108)</f>
        <v>12</v>
      </c>
      <c r="AA107" s="40">
        <f>IF([2]Setup!$B$21=[2]Setup!$V$19,'[2]Country populations'!AU108,'[2]Country populations'!BF108)</f>
        <v>12</v>
      </c>
      <c r="AB107" s="40">
        <f>IF([2]Setup!$B$21=[2]Setup!$V$19,'[2]Country populations'!AV108,'[2]Country populations'!BG108)</f>
        <v>12</v>
      </c>
      <c r="AC107" s="40">
        <f>IF([2]Setup!$B$21=[2]Setup!$V$19,'[2]Country populations'!AW108,'[2]Country populations'!BH108)</f>
        <v>13</v>
      </c>
      <c r="AD107" s="40">
        <f>IF([2]Setup!$B$21=[2]Setup!$V$19,'[2]Country populations'!AX108,'[2]Country populations'!BI108)</f>
        <v>13</v>
      </c>
      <c r="AE107" s="40">
        <f>IF([2]Setup!$B$21=[2]Setup!$V$19,'[2]Country populations'!AY108,'[2]Country populations'!BJ108)</f>
        <v>13</v>
      </c>
      <c r="AF107" s="40">
        <f>IF([2]Setup!$B$21=[2]Setup!$V$19,'[2]Country populations'!AZ108,'[2]Country populations'!BK108)</f>
        <v>13</v>
      </c>
      <c r="AG107" s="40">
        <f>IF([2]Setup!$B$21=[2]Setup!$V$19,'[2]Country populations'!BA108,'[2]Country populations'!BL108)</f>
        <v>13</v>
      </c>
      <c r="AH107" s="40">
        <f>IF([2]Setup!$B$21=[2]Setup!$V$19,'[2]Country populations'!BB108,'[2]Country populations'!BM108)</f>
        <v>13</v>
      </c>
      <c r="AI107" s="40">
        <f>IF([2]Setup!$B$21=[2]Setup!$V$19,'[2]Country populations'!BC108,'[2]Country populations'!BN108)</f>
        <v>13</v>
      </c>
      <c r="AJ107" s="40">
        <f>IF([2]Setup!$B$21=[2]Setup!$V$19,'[2]Country populations'!BD108,'[2]Country populations'!BO108)</f>
        <v>14</v>
      </c>
    </row>
    <row r="108" spans="1:36" x14ac:dyDescent="0.25">
      <c r="A108" t="str">
        <f>'[2]Country populations'!A109</f>
        <v>Madagascar</v>
      </c>
      <c r="B108" s="40">
        <f>IF([2]Setup!$B$19=[2]Setup!$T$19,'[2]Country populations'!B109,'[2]Country populations'!M109)</f>
        <v>50478</v>
      </c>
      <c r="C108" s="40">
        <f>IF([2]Setup!$B$19=[2]Setup!$T$19,'[2]Country populations'!C109,'[2]Country populations'!N109)</f>
        <v>48408</v>
      </c>
      <c r="D108" s="40">
        <f>IF([2]Setup!$B$19=[2]Setup!$T$19,'[2]Country populations'!D109,'[2]Country populations'!O109)</f>
        <v>46548</v>
      </c>
      <c r="E108" s="40">
        <f>IF([2]Setup!$B$19=[2]Setup!$T$19,'[2]Country populations'!E109,'[2]Country populations'!P109)</f>
        <v>44932</v>
      </c>
      <c r="F108" s="40">
        <f>IF([2]Setup!$B$19=[2]Setup!$T$19,'[2]Country populations'!F109,'[2]Country populations'!Q109)</f>
        <v>43637</v>
      </c>
      <c r="G108" s="40">
        <f>IF([2]Setup!$B$19=[2]Setup!$T$19,'[2]Country populations'!G109,'[2]Country populations'!R109)</f>
        <v>42728</v>
      </c>
      <c r="H108" s="40">
        <f>IF([2]Setup!$B$19=[2]Setup!$T$19,'[2]Country populations'!H109,'[2]Country populations'!S109)</f>
        <v>41981</v>
      </c>
      <c r="I108" s="40">
        <f>IF([2]Setup!$B$19=[2]Setup!$T$19,'[2]Country populations'!I109,'[2]Country populations'!T109)</f>
        <v>41218</v>
      </c>
      <c r="J108" s="40">
        <f>IF([2]Setup!$B$19=[2]Setup!$T$19,'[2]Country populations'!J109,'[2]Country populations'!U109)</f>
        <v>40492</v>
      </c>
      <c r="K108" s="40">
        <f>IF([2]Setup!$B$19=[2]Setup!$T$19,'[2]Country populations'!K109,'[2]Country populations'!V109)</f>
        <v>39835</v>
      </c>
      <c r="L108" s="40">
        <f>IF([2]Setup!$B$19=[2]Setup!$T$19,'[2]Country populations'!L109,'[2]Country populations'!W109)</f>
        <v>39274</v>
      </c>
      <c r="M108" s="40" t="str">
        <f t="shared" si="4"/>
        <v>Madagascar</v>
      </c>
      <c r="N108" s="40">
        <f>IF([2]Setup!$B$20=[2]Setup!$U$19,'[2]Country populations'!X109,'[2]Country populations'!AI109)</f>
        <v>6233</v>
      </c>
      <c r="O108" s="40">
        <f>IF([2]Setup!$B$20=[2]Setup!$U$19,'[2]Country populations'!Y109,'[2]Country populations'!AJ109)</f>
        <v>5895</v>
      </c>
      <c r="P108" s="40">
        <f>IF([2]Setup!$B$20=[2]Setup!$U$19,'[2]Country populations'!Z109,'[2]Country populations'!AK109)</f>
        <v>5473</v>
      </c>
      <c r="Q108" s="40">
        <f>IF([2]Setup!$B$20=[2]Setup!$U$19,'[2]Country populations'!AA109,'[2]Country populations'!AL109)</f>
        <v>5004</v>
      </c>
      <c r="R108" s="40">
        <f>IF([2]Setup!$B$20=[2]Setup!$U$19,'[2]Country populations'!AB109,'[2]Country populations'!AM109)</f>
        <v>4571</v>
      </c>
      <c r="S108" s="40">
        <f>IF([2]Setup!$B$20=[2]Setup!$U$19,'[2]Country populations'!AC109,'[2]Country populations'!AN109)</f>
        <v>4287</v>
      </c>
      <c r="T108" s="40">
        <f>IF([2]Setup!$B$20=[2]Setup!$U$19,'[2]Country populations'!AD109,'[2]Country populations'!AO109)</f>
        <v>3985</v>
      </c>
      <c r="U108" s="40">
        <f>IF([2]Setup!$B$20=[2]Setup!$U$19,'[2]Country populations'!AE109,'[2]Country populations'!AP109)</f>
        <v>3685</v>
      </c>
      <c r="V108" s="40">
        <f>IF([2]Setup!$B$20=[2]Setup!$U$19,'[2]Country populations'!AF109,'[2]Country populations'!AQ109)</f>
        <v>3383</v>
      </c>
      <c r="W108" s="40">
        <f>IF([2]Setup!$B$20=[2]Setup!$U$19,'[2]Country populations'!AG109,'[2]Country populations'!AR109)</f>
        <v>3109</v>
      </c>
      <c r="X108" s="40">
        <f>IF([2]Setup!$B$20=[2]Setup!$U$19,'[2]Country populations'!AH109,'[2]Country populations'!AS109)</f>
        <v>2859</v>
      </c>
      <c r="Y108" s="40" t="str">
        <f t="shared" si="5"/>
        <v>Madagascar</v>
      </c>
      <c r="Z108" s="40">
        <f>IF([2]Setup!$B$21=[2]Setup!$V$19,'[2]Country populations'!AT109,'[2]Country populations'!BE109)</f>
        <v>1913</v>
      </c>
      <c r="AA108" s="40">
        <f>IF([2]Setup!$B$21=[2]Setup!$V$19,'[2]Country populations'!AU109,'[2]Country populations'!BF109)</f>
        <v>1777</v>
      </c>
      <c r="AB108" s="40">
        <f>IF([2]Setup!$B$21=[2]Setup!$V$19,'[2]Country populations'!AV109,'[2]Country populations'!BG109)</f>
        <v>1658</v>
      </c>
      <c r="AC108" s="40">
        <f>IF([2]Setup!$B$21=[2]Setup!$V$19,'[2]Country populations'!AW109,'[2]Country populations'!BH109)</f>
        <v>1555</v>
      </c>
      <c r="AD108" s="40">
        <f>IF([2]Setup!$B$21=[2]Setup!$V$19,'[2]Country populations'!AX109,'[2]Country populations'!BI109)</f>
        <v>1470</v>
      </c>
      <c r="AE108" s="40">
        <f>IF([2]Setup!$B$21=[2]Setup!$V$19,'[2]Country populations'!AY109,'[2]Country populations'!BJ109)</f>
        <v>1408</v>
      </c>
      <c r="AF108" s="40">
        <f>IF([2]Setup!$B$21=[2]Setup!$V$19,'[2]Country populations'!AZ109,'[2]Country populations'!BK109)</f>
        <v>1347</v>
      </c>
      <c r="AG108" s="40">
        <f>IF([2]Setup!$B$21=[2]Setup!$V$19,'[2]Country populations'!BA109,'[2]Country populations'!BL109)</f>
        <v>1278</v>
      </c>
      <c r="AH108" s="40">
        <f>IF([2]Setup!$B$21=[2]Setup!$V$19,'[2]Country populations'!BB109,'[2]Country populations'!BM109)</f>
        <v>1213</v>
      </c>
      <c r="AI108" s="40">
        <f>IF([2]Setup!$B$21=[2]Setup!$V$19,'[2]Country populations'!BC109,'[2]Country populations'!BN109)</f>
        <v>1154</v>
      </c>
      <c r="AJ108" s="40">
        <f>IF([2]Setup!$B$21=[2]Setup!$V$19,'[2]Country populations'!BD109,'[2]Country populations'!BO109)</f>
        <v>1100</v>
      </c>
    </row>
    <row r="109" spans="1:36" x14ac:dyDescent="0.25">
      <c r="A109" t="str">
        <f>'[2]Country populations'!A110</f>
        <v>Malawi</v>
      </c>
      <c r="B109" s="40">
        <f>IF([2]Setup!$B$19=[2]Setup!$T$19,'[2]Country populations'!B110,'[2]Country populations'!M110)</f>
        <v>897191</v>
      </c>
      <c r="C109" s="40">
        <f>IF([2]Setup!$B$19=[2]Setup!$T$19,'[2]Country populations'!C110,'[2]Country populations'!N110)</f>
        <v>888455</v>
      </c>
      <c r="D109" s="40">
        <f>IF([2]Setup!$B$19=[2]Setup!$T$19,'[2]Country populations'!D110,'[2]Country populations'!O110)</f>
        <v>877854</v>
      </c>
      <c r="E109" s="40">
        <f>IF([2]Setup!$B$19=[2]Setup!$T$19,'[2]Country populations'!E110,'[2]Country populations'!P110)</f>
        <v>865626</v>
      </c>
      <c r="F109" s="40">
        <f>IF([2]Setup!$B$19=[2]Setup!$T$19,'[2]Country populations'!F110,'[2]Country populations'!Q110)</f>
        <v>851751</v>
      </c>
      <c r="G109" s="40">
        <f>IF([2]Setup!$B$19=[2]Setup!$T$19,'[2]Country populations'!G110,'[2]Country populations'!R110)</f>
        <v>836247</v>
      </c>
      <c r="H109" s="40">
        <f>IF([2]Setup!$B$19=[2]Setup!$T$19,'[2]Country populations'!H110,'[2]Country populations'!S110)</f>
        <v>820586</v>
      </c>
      <c r="I109" s="40">
        <f>IF([2]Setup!$B$19=[2]Setup!$T$19,'[2]Country populations'!I110,'[2]Country populations'!T110)</f>
        <v>805533</v>
      </c>
      <c r="J109" s="40">
        <f>IF([2]Setup!$B$19=[2]Setup!$T$19,'[2]Country populations'!J110,'[2]Country populations'!U110)</f>
        <v>791022</v>
      </c>
      <c r="K109" s="40">
        <f>IF([2]Setup!$B$19=[2]Setup!$T$19,'[2]Country populations'!K110,'[2]Country populations'!V110)</f>
        <v>777491</v>
      </c>
      <c r="L109" s="40">
        <f>IF([2]Setup!$B$19=[2]Setup!$T$19,'[2]Country populations'!L110,'[2]Country populations'!W110)</f>
        <v>764744</v>
      </c>
      <c r="M109" s="40" t="str">
        <f t="shared" si="4"/>
        <v>Malawi</v>
      </c>
      <c r="N109" s="40">
        <f>IF([2]Setup!$B$20=[2]Setup!$U$19,'[2]Country populations'!X110,'[2]Country populations'!AI110)</f>
        <v>145579</v>
      </c>
      <c r="O109" s="40">
        <f>IF([2]Setup!$B$20=[2]Setup!$U$19,'[2]Country populations'!Y110,'[2]Country populations'!AJ110)</f>
        <v>135329</v>
      </c>
      <c r="P109" s="40">
        <f>IF([2]Setup!$B$20=[2]Setup!$U$19,'[2]Country populations'!Z110,'[2]Country populations'!AK110)</f>
        <v>125350</v>
      </c>
      <c r="Q109" s="40">
        <f>IF([2]Setup!$B$20=[2]Setup!$U$19,'[2]Country populations'!AA110,'[2]Country populations'!AL110)</f>
        <v>115889</v>
      </c>
      <c r="R109" s="40">
        <f>IF([2]Setup!$B$20=[2]Setup!$U$19,'[2]Country populations'!AB110,'[2]Country populations'!AM110)</f>
        <v>106225</v>
      </c>
      <c r="S109" s="40">
        <f>IF([2]Setup!$B$20=[2]Setup!$U$19,'[2]Country populations'!AC110,'[2]Country populations'!AN110)</f>
        <v>103417</v>
      </c>
      <c r="T109" s="40">
        <f>IF([2]Setup!$B$20=[2]Setup!$U$19,'[2]Country populations'!AD110,'[2]Country populations'!AO110)</f>
        <v>101669</v>
      </c>
      <c r="U109" s="40">
        <f>IF([2]Setup!$B$20=[2]Setup!$U$19,'[2]Country populations'!AE110,'[2]Country populations'!AP110)</f>
        <v>98279</v>
      </c>
      <c r="V109" s="40">
        <f>IF([2]Setup!$B$20=[2]Setup!$U$19,'[2]Country populations'!AF110,'[2]Country populations'!AQ110)</f>
        <v>94686</v>
      </c>
      <c r="W109" s="40">
        <f>IF([2]Setup!$B$20=[2]Setup!$U$19,'[2]Country populations'!AG110,'[2]Country populations'!AR110)</f>
        <v>90349</v>
      </c>
      <c r="X109" s="40">
        <f>IF([2]Setup!$B$20=[2]Setup!$U$19,'[2]Country populations'!AH110,'[2]Country populations'!AS110)</f>
        <v>85835</v>
      </c>
      <c r="Y109" s="40" t="str">
        <f t="shared" si="5"/>
        <v>Malawi</v>
      </c>
      <c r="Z109" s="40">
        <f>IF([2]Setup!$B$21=[2]Setup!$V$19,'[2]Country populations'!AT110,'[2]Country populations'!BE110)</f>
        <v>62169</v>
      </c>
      <c r="AA109" s="40">
        <f>IF([2]Setup!$B$21=[2]Setup!$V$19,'[2]Country populations'!AU110,'[2]Country populations'!BF110)</f>
        <v>58677</v>
      </c>
      <c r="AB109" s="40">
        <f>IF([2]Setup!$B$21=[2]Setup!$V$19,'[2]Country populations'!AV110,'[2]Country populations'!BG110)</f>
        <v>55005</v>
      </c>
      <c r="AC109" s="40">
        <f>IF([2]Setup!$B$21=[2]Setup!$V$19,'[2]Country populations'!AW110,'[2]Country populations'!BH110)</f>
        <v>51344</v>
      </c>
      <c r="AD109" s="40">
        <f>IF([2]Setup!$B$21=[2]Setup!$V$19,'[2]Country populations'!AX110,'[2]Country populations'!BI110)</f>
        <v>47709</v>
      </c>
      <c r="AE109" s="40">
        <f>IF([2]Setup!$B$21=[2]Setup!$V$19,'[2]Country populations'!AY110,'[2]Country populations'!BJ110)</f>
        <v>44153</v>
      </c>
      <c r="AF109" s="40">
        <f>IF([2]Setup!$B$21=[2]Setup!$V$19,'[2]Country populations'!AZ110,'[2]Country populations'!BK110)</f>
        <v>40793</v>
      </c>
      <c r="AG109" s="40">
        <f>IF([2]Setup!$B$21=[2]Setup!$V$19,'[2]Country populations'!BA110,'[2]Country populations'!BL110)</f>
        <v>37691</v>
      </c>
      <c r="AH109" s="40">
        <f>IF([2]Setup!$B$21=[2]Setup!$V$19,'[2]Country populations'!BB110,'[2]Country populations'!BM110)</f>
        <v>34861</v>
      </c>
      <c r="AI109" s="40">
        <f>IF([2]Setup!$B$21=[2]Setup!$V$19,'[2]Country populations'!BC110,'[2]Country populations'!BN110)</f>
        <v>32344</v>
      </c>
      <c r="AJ109" s="40">
        <f>IF([2]Setup!$B$21=[2]Setup!$V$19,'[2]Country populations'!BD110,'[2]Country populations'!BO110)</f>
        <v>30150</v>
      </c>
    </row>
    <row r="110" spans="1:36" x14ac:dyDescent="0.25">
      <c r="A110" t="str">
        <f>'[2]Country populations'!A111</f>
        <v>Malaysia</v>
      </c>
      <c r="B110" s="40">
        <f>IF([2]Setup!$B$19=[2]Setup!$T$19,'[2]Country populations'!B111,'[2]Country populations'!M111)</f>
        <v>100408</v>
      </c>
      <c r="C110" s="40">
        <f>IF([2]Setup!$B$19=[2]Setup!$T$19,'[2]Country populations'!C111,'[2]Country populations'!N111)</f>
        <v>104292</v>
      </c>
      <c r="D110" s="40">
        <f>IF([2]Setup!$B$19=[2]Setup!$T$19,'[2]Country populations'!D111,'[2]Country populations'!O111)</f>
        <v>107972</v>
      </c>
      <c r="E110" s="40">
        <f>IF([2]Setup!$B$19=[2]Setup!$T$19,'[2]Country populations'!E111,'[2]Country populations'!P111)</f>
        <v>111619</v>
      </c>
      <c r="F110" s="40">
        <f>IF([2]Setup!$B$19=[2]Setup!$T$19,'[2]Country populations'!F111,'[2]Country populations'!Q111)</f>
        <v>115367</v>
      </c>
      <c r="G110" s="40">
        <f>IF([2]Setup!$B$19=[2]Setup!$T$19,'[2]Country populations'!G111,'[2]Country populations'!R111)</f>
        <v>119282</v>
      </c>
      <c r="H110" s="40">
        <f>IF([2]Setup!$B$19=[2]Setup!$T$19,'[2]Country populations'!H111,'[2]Country populations'!S111)</f>
        <v>123191</v>
      </c>
      <c r="I110" s="40">
        <f>IF([2]Setup!$B$19=[2]Setup!$T$19,'[2]Country populations'!I111,'[2]Country populations'!T111)</f>
        <v>126897</v>
      </c>
      <c r="J110" s="40">
        <f>IF([2]Setup!$B$19=[2]Setup!$T$19,'[2]Country populations'!J111,'[2]Country populations'!U111)</f>
        <v>130395</v>
      </c>
      <c r="K110" s="40">
        <f>IF([2]Setup!$B$19=[2]Setup!$T$19,'[2]Country populations'!K111,'[2]Country populations'!V111)</f>
        <v>133677</v>
      </c>
      <c r="L110" s="40">
        <f>IF([2]Setup!$B$19=[2]Setup!$T$19,'[2]Country populations'!L111,'[2]Country populations'!W111)</f>
        <v>136763</v>
      </c>
      <c r="M110" s="40" t="str">
        <f t="shared" si="4"/>
        <v>Malaysia</v>
      </c>
      <c r="N110" s="40">
        <f>IF([2]Setup!$B$20=[2]Setup!$U$19,'[2]Country populations'!X111,'[2]Country populations'!AI111)</f>
        <v>1101</v>
      </c>
      <c r="O110" s="40">
        <f>IF([2]Setup!$B$20=[2]Setup!$U$19,'[2]Country populations'!Y111,'[2]Country populations'!AJ111)</f>
        <v>1164</v>
      </c>
      <c r="P110" s="40">
        <f>IF([2]Setup!$B$20=[2]Setup!$U$19,'[2]Country populations'!Z111,'[2]Country populations'!AK111)</f>
        <v>1211</v>
      </c>
      <c r="Q110" s="40">
        <f>IF([2]Setup!$B$20=[2]Setup!$U$19,'[2]Country populations'!AA111,'[2]Country populations'!AL111)</f>
        <v>1247</v>
      </c>
      <c r="R110" s="40">
        <f>IF([2]Setup!$B$20=[2]Setup!$U$19,'[2]Country populations'!AB111,'[2]Country populations'!AM111)</f>
        <v>1275</v>
      </c>
      <c r="S110" s="40">
        <f>IF([2]Setup!$B$20=[2]Setup!$U$19,'[2]Country populations'!AC111,'[2]Country populations'!AN111)</f>
        <v>1367</v>
      </c>
      <c r="T110" s="40">
        <f>IF([2]Setup!$B$20=[2]Setup!$U$19,'[2]Country populations'!AD111,'[2]Country populations'!AO111)</f>
        <v>1472</v>
      </c>
      <c r="U110" s="40">
        <f>IF([2]Setup!$B$20=[2]Setup!$U$19,'[2]Country populations'!AE111,'[2]Country populations'!AP111)</f>
        <v>1562</v>
      </c>
      <c r="V110" s="40">
        <f>IF([2]Setup!$B$20=[2]Setup!$U$19,'[2]Country populations'!AF111,'[2]Country populations'!AQ111)</f>
        <v>1654</v>
      </c>
      <c r="W110" s="40">
        <f>IF([2]Setup!$B$20=[2]Setup!$U$19,'[2]Country populations'!AG111,'[2]Country populations'!AR111)</f>
        <v>1748</v>
      </c>
      <c r="X110" s="40">
        <f>IF([2]Setup!$B$20=[2]Setup!$U$19,'[2]Country populations'!AH111,'[2]Country populations'!AS111)</f>
        <v>1834</v>
      </c>
      <c r="Y110" s="40" t="str">
        <f t="shared" si="5"/>
        <v>Malaysia</v>
      </c>
      <c r="Z110" s="40">
        <f>IF([2]Setup!$B$21=[2]Setup!$V$19,'[2]Country populations'!AT111,'[2]Country populations'!BE111)</f>
        <v>560</v>
      </c>
      <c r="AA110" s="40">
        <f>IF([2]Setup!$B$21=[2]Setup!$V$19,'[2]Country populations'!AU111,'[2]Country populations'!BF111)</f>
        <v>571</v>
      </c>
      <c r="AB110" s="40">
        <f>IF([2]Setup!$B$21=[2]Setup!$V$19,'[2]Country populations'!AV111,'[2]Country populations'!BG111)</f>
        <v>574</v>
      </c>
      <c r="AC110" s="40">
        <f>IF([2]Setup!$B$21=[2]Setup!$V$19,'[2]Country populations'!AW111,'[2]Country populations'!BH111)</f>
        <v>575</v>
      </c>
      <c r="AD110" s="40">
        <f>IF([2]Setup!$B$21=[2]Setup!$V$19,'[2]Country populations'!AX111,'[2]Country populations'!BI111)</f>
        <v>581</v>
      </c>
      <c r="AE110" s="40">
        <f>IF([2]Setup!$B$21=[2]Setup!$V$19,'[2]Country populations'!AY111,'[2]Country populations'!BJ111)</f>
        <v>589</v>
      </c>
      <c r="AF110" s="40">
        <f>IF([2]Setup!$B$21=[2]Setup!$V$19,'[2]Country populations'!AZ111,'[2]Country populations'!BK111)</f>
        <v>595</v>
      </c>
      <c r="AG110" s="40">
        <f>IF([2]Setup!$B$21=[2]Setup!$V$19,'[2]Country populations'!BA111,'[2]Country populations'!BL111)</f>
        <v>595</v>
      </c>
      <c r="AH110" s="40">
        <f>IF([2]Setup!$B$21=[2]Setup!$V$19,'[2]Country populations'!BB111,'[2]Country populations'!BM111)</f>
        <v>595</v>
      </c>
      <c r="AI110" s="40">
        <f>IF([2]Setup!$B$21=[2]Setup!$V$19,'[2]Country populations'!BC111,'[2]Country populations'!BN111)</f>
        <v>592</v>
      </c>
      <c r="AJ110" s="40">
        <f>IF([2]Setup!$B$21=[2]Setup!$V$19,'[2]Country populations'!BD111,'[2]Country populations'!BO111)</f>
        <v>588</v>
      </c>
    </row>
    <row r="111" spans="1:36" x14ac:dyDescent="0.25">
      <c r="A111" t="str">
        <f>'[2]Country populations'!A112</f>
        <v>Maldives</v>
      </c>
      <c r="B111" s="40">
        <f>IF([2]Setup!$B$19=[2]Setup!$T$19,'[2]Country populations'!B112,'[2]Country populations'!M112)</f>
        <v>24</v>
      </c>
      <c r="C111" s="40">
        <f>IF([2]Setup!$B$19=[2]Setup!$T$19,'[2]Country populations'!C112,'[2]Country populations'!N112)</f>
        <v>23</v>
      </c>
      <c r="D111" s="40">
        <f>IF([2]Setup!$B$19=[2]Setup!$T$19,'[2]Country populations'!D112,'[2]Country populations'!O112)</f>
        <v>22</v>
      </c>
      <c r="E111" s="40">
        <f>IF([2]Setup!$B$19=[2]Setup!$T$19,'[2]Country populations'!E112,'[2]Country populations'!P112)</f>
        <v>21</v>
      </c>
      <c r="F111" s="40">
        <f>IF([2]Setup!$B$19=[2]Setup!$T$19,'[2]Country populations'!F112,'[2]Country populations'!Q112)</f>
        <v>20</v>
      </c>
      <c r="G111" s="40">
        <f>IF([2]Setup!$B$19=[2]Setup!$T$19,'[2]Country populations'!G112,'[2]Country populations'!R112)</f>
        <v>20</v>
      </c>
      <c r="H111" s="40">
        <f>IF([2]Setup!$B$19=[2]Setup!$T$19,'[2]Country populations'!H112,'[2]Country populations'!S112)</f>
        <v>19</v>
      </c>
      <c r="I111" s="40">
        <f>IF([2]Setup!$B$19=[2]Setup!$T$19,'[2]Country populations'!I112,'[2]Country populations'!T112)</f>
        <v>19</v>
      </c>
      <c r="J111" s="40">
        <f>IF([2]Setup!$B$19=[2]Setup!$T$19,'[2]Country populations'!J112,'[2]Country populations'!U112)</f>
        <v>18</v>
      </c>
      <c r="K111" s="40">
        <f>IF([2]Setup!$B$19=[2]Setup!$T$19,'[2]Country populations'!K112,'[2]Country populations'!V112)</f>
        <v>18</v>
      </c>
      <c r="L111" s="40">
        <f>IF([2]Setup!$B$19=[2]Setup!$T$19,'[2]Country populations'!L112,'[2]Country populations'!W112)</f>
        <v>18</v>
      </c>
      <c r="M111" s="40" t="str">
        <f t="shared" si="4"/>
        <v>Maldives</v>
      </c>
      <c r="N111" s="40">
        <f>IF([2]Setup!$B$20=[2]Setup!$U$19,'[2]Country populations'!X112,'[2]Country populations'!AI112)</f>
        <v>0.83098000000000005</v>
      </c>
      <c r="O111" s="40">
        <f>IF([2]Setup!$B$20=[2]Setup!$U$19,'[2]Country populations'!Y112,'[2]Country populations'!AJ112)</f>
        <v>0.80257999999999996</v>
      </c>
      <c r="P111" s="40">
        <f>IF([2]Setup!$B$20=[2]Setup!$U$19,'[2]Country populations'!Z112,'[2]Country populations'!AK112)</f>
        <v>0.77246000000000004</v>
      </c>
      <c r="Q111" s="40">
        <f>IF([2]Setup!$B$20=[2]Setup!$U$19,'[2]Country populations'!AA112,'[2]Country populations'!AL112)</f>
        <v>0.74046999999999996</v>
      </c>
      <c r="R111" s="40">
        <f>IF([2]Setup!$B$20=[2]Setup!$U$19,'[2]Country populations'!AB112,'[2]Country populations'!AM112)</f>
        <v>0.70694000000000001</v>
      </c>
      <c r="S111" s="40">
        <f>IF([2]Setup!$B$20=[2]Setup!$U$19,'[2]Country populations'!AC112,'[2]Country populations'!AN112)</f>
        <v>0.67244000000000004</v>
      </c>
      <c r="T111" s="40">
        <f>IF([2]Setup!$B$20=[2]Setup!$U$19,'[2]Country populations'!AD112,'[2]Country populations'!AO112)</f>
        <v>0.63737999999999995</v>
      </c>
      <c r="U111" s="40">
        <f>IF([2]Setup!$B$20=[2]Setup!$U$19,'[2]Country populations'!AE112,'[2]Country populations'!AP112)</f>
        <v>0.60189999999999999</v>
      </c>
      <c r="V111" s="40">
        <f>IF([2]Setup!$B$20=[2]Setup!$U$19,'[2]Country populations'!AF112,'[2]Country populations'!AQ112)</f>
        <v>0.56567000000000001</v>
      </c>
      <c r="W111" s="40">
        <f>IF([2]Setup!$B$20=[2]Setup!$U$19,'[2]Country populations'!AG112,'[2]Country populations'!AR112)</f>
        <v>0.53007000000000004</v>
      </c>
      <c r="X111" s="40">
        <f>IF([2]Setup!$B$20=[2]Setup!$U$19,'[2]Country populations'!AH112,'[2]Country populations'!AS112)</f>
        <v>0.49584</v>
      </c>
      <c r="Y111" s="40" t="str">
        <f t="shared" si="5"/>
        <v>Maldives</v>
      </c>
      <c r="Z111" s="40">
        <f>IF([2]Setup!$B$21=[2]Setup!$V$19,'[2]Country populations'!AT112,'[2]Country populations'!BE112)</f>
        <v>0.26597999999999999</v>
      </c>
      <c r="AA111" s="40">
        <f>IF([2]Setup!$B$21=[2]Setup!$V$19,'[2]Country populations'!AU112,'[2]Country populations'!BF112)</f>
        <v>0.24374000000000001</v>
      </c>
      <c r="AB111" s="40">
        <f>IF([2]Setup!$B$21=[2]Setup!$V$19,'[2]Country populations'!AV112,'[2]Country populations'!BG112)</f>
        <v>0.22403999999999999</v>
      </c>
      <c r="AC111" s="40">
        <f>IF([2]Setup!$B$21=[2]Setup!$V$19,'[2]Country populations'!AW112,'[2]Country populations'!BH112)</f>
        <v>0.20596</v>
      </c>
      <c r="AD111" s="40">
        <f>IF([2]Setup!$B$21=[2]Setup!$V$19,'[2]Country populations'!AX112,'[2]Country populations'!BI112)</f>
        <v>0.18962000000000001</v>
      </c>
      <c r="AE111" s="40">
        <f>IF([2]Setup!$B$21=[2]Setup!$V$19,'[2]Country populations'!AY112,'[2]Country populations'!BJ112)</f>
        <v>0.17512</v>
      </c>
      <c r="AF111" s="40">
        <f>IF([2]Setup!$B$21=[2]Setup!$V$19,'[2]Country populations'!AZ112,'[2]Country populations'!BK112)</f>
        <v>0.16239999999999999</v>
      </c>
      <c r="AG111" s="40">
        <f>IF([2]Setup!$B$21=[2]Setup!$V$19,'[2]Country populations'!BA112,'[2]Country populations'!BL112)</f>
        <v>0.15139</v>
      </c>
      <c r="AH111" s="40">
        <f>IF([2]Setup!$B$21=[2]Setup!$V$19,'[2]Country populations'!BB112,'[2]Country populations'!BM112)</f>
        <v>0.14197000000000001</v>
      </c>
      <c r="AI111" s="40">
        <f>IF([2]Setup!$B$21=[2]Setup!$V$19,'[2]Country populations'!BC112,'[2]Country populations'!BN112)</f>
        <v>0.13395000000000001</v>
      </c>
      <c r="AJ111" s="40">
        <f>IF([2]Setup!$B$21=[2]Setup!$V$19,'[2]Country populations'!BD112,'[2]Country populations'!BO112)</f>
        <v>0.12717999999999999</v>
      </c>
    </row>
    <row r="112" spans="1:36" x14ac:dyDescent="0.25">
      <c r="A112" t="str">
        <f>'[2]Country populations'!A113</f>
        <v>Mali</v>
      </c>
      <c r="B112" s="40">
        <f>IF([2]Setup!$B$19=[2]Setup!$T$19,'[2]Country populations'!B113,'[2]Country populations'!M113)</f>
        <v>79169</v>
      </c>
      <c r="C112" s="40">
        <f>IF([2]Setup!$B$19=[2]Setup!$T$19,'[2]Country populations'!C113,'[2]Country populations'!N113)</f>
        <v>78313</v>
      </c>
      <c r="D112" s="40">
        <f>IF([2]Setup!$B$19=[2]Setup!$T$19,'[2]Country populations'!D113,'[2]Country populations'!O113)</f>
        <v>77312</v>
      </c>
      <c r="E112" s="40">
        <f>IF([2]Setup!$B$19=[2]Setup!$T$19,'[2]Country populations'!E113,'[2]Country populations'!P113)</f>
        <v>76185</v>
      </c>
      <c r="F112" s="40">
        <f>IF([2]Setup!$B$19=[2]Setup!$T$19,'[2]Country populations'!F113,'[2]Country populations'!Q113)</f>
        <v>74962</v>
      </c>
      <c r="G112" s="40">
        <f>IF([2]Setup!$B$19=[2]Setup!$T$19,'[2]Country populations'!G113,'[2]Country populations'!R113)</f>
        <v>73630</v>
      </c>
      <c r="H112" s="40">
        <f>IF([2]Setup!$B$19=[2]Setup!$T$19,'[2]Country populations'!H113,'[2]Country populations'!S113)</f>
        <v>72324</v>
      </c>
      <c r="I112" s="40">
        <f>IF([2]Setup!$B$19=[2]Setup!$T$19,'[2]Country populations'!I113,'[2]Country populations'!T113)</f>
        <v>71038</v>
      </c>
      <c r="J112" s="40">
        <f>IF([2]Setup!$B$19=[2]Setup!$T$19,'[2]Country populations'!J113,'[2]Country populations'!U113)</f>
        <v>69778</v>
      </c>
      <c r="K112" s="40">
        <f>IF([2]Setup!$B$19=[2]Setup!$T$19,'[2]Country populations'!K113,'[2]Country populations'!V113)</f>
        <v>68558</v>
      </c>
      <c r="L112" s="40">
        <f>IF([2]Setup!$B$19=[2]Setup!$T$19,'[2]Country populations'!L113,'[2]Country populations'!W113)</f>
        <v>67442</v>
      </c>
      <c r="M112" s="40" t="str">
        <f t="shared" si="4"/>
        <v>Mali</v>
      </c>
      <c r="N112" s="40">
        <f>IF([2]Setup!$B$20=[2]Setup!$U$19,'[2]Country populations'!X113,'[2]Country populations'!AI113)</f>
        <v>15471</v>
      </c>
      <c r="O112" s="40">
        <f>IF([2]Setup!$B$20=[2]Setup!$U$19,'[2]Country populations'!Y113,'[2]Country populations'!AJ113)</f>
        <v>15396</v>
      </c>
      <c r="P112" s="40">
        <f>IF([2]Setup!$B$20=[2]Setup!$U$19,'[2]Country populations'!Z113,'[2]Country populations'!AK113)</f>
        <v>15074</v>
      </c>
      <c r="Q112" s="40">
        <f>IF([2]Setup!$B$20=[2]Setup!$U$19,'[2]Country populations'!AA113,'[2]Country populations'!AL113)</f>
        <v>14590</v>
      </c>
      <c r="R112" s="40">
        <f>IF([2]Setup!$B$20=[2]Setup!$U$19,'[2]Country populations'!AB113,'[2]Country populations'!AM113)</f>
        <v>13993</v>
      </c>
      <c r="S112" s="40">
        <f>IF([2]Setup!$B$20=[2]Setup!$U$19,'[2]Country populations'!AC113,'[2]Country populations'!AN113)</f>
        <v>13338</v>
      </c>
      <c r="T112" s="40">
        <f>IF([2]Setup!$B$20=[2]Setup!$U$19,'[2]Country populations'!AD113,'[2]Country populations'!AO113)</f>
        <v>12598</v>
      </c>
      <c r="U112" s="40">
        <f>IF([2]Setup!$B$20=[2]Setup!$U$19,'[2]Country populations'!AE113,'[2]Country populations'!AP113)</f>
        <v>11832</v>
      </c>
      <c r="V112" s="40">
        <f>IF([2]Setup!$B$20=[2]Setup!$U$19,'[2]Country populations'!AF113,'[2]Country populations'!AQ113)</f>
        <v>11050</v>
      </c>
      <c r="W112" s="40">
        <f>IF([2]Setup!$B$20=[2]Setup!$U$19,'[2]Country populations'!AG113,'[2]Country populations'!AR113)</f>
        <v>10254</v>
      </c>
      <c r="X112" s="40">
        <f>IF([2]Setup!$B$20=[2]Setup!$U$19,'[2]Country populations'!AH113,'[2]Country populations'!AS113)</f>
        <v>9409</v>
      </c>
      <c r="Y112" s="40" t="str">
        <f t="shared" si="5"/>
        <v>Mali</v>
      </c>
      <c r="Z112" s="40">
        <f>IF([2]Setup!$B$21=[2]Setup!$V$19,'[2]Country populations'!AT113,'[2]Country populations'!BE113)</f>
        <v>6253</v>
      </c>
      <c r="AA112" s="40">
        <f>IF([2]Setup!$B$21=[2]Setup!$V$19,'[2]Country populations'!AU113,'[2]Country populations'!BF113)</f>
        <v>5966</v>
      </c>
      <c r="AB112" s="40">
        <f>IF([2]Setup!$B$21=[2]Setup!$V$19,'[2]Country populations'!AV113,'[2]Country populations'!BG113)</f>
        <v>5630</v>
      </c>
      <c r="AC112" s="40">
        <f>IF([2]Setup!$B$21=[2]Setup!$V$19,'[2]Country populations'!AW113,'[2]Country populations'!BH113)</f>
        <v>5286</v>
      </c>
      <c r="AD112" s="40">
        <f>IF([2]Setup!$B$21=[2]Setup!$V$19,'[2]Country populations'!AX113,'[2]Country populations'!BI113)</f>
        <v>4937</v>
      </c>
      <c r="AE112" s="40">
        <f>IF([2]Setup!$B$21=[2]Setup!$V$19,'[2]Country populations'!AY113,'[2]Country populations'!BJ113)</f>
        <v>4592</v>
      </c>
      <c r="AF112" s="40">
        <f>IF([2]Setup!$B$21=[2]Setup!$V$19,'[2]Country populations'!AZ113,'[2]Country populations'!BK113)</f>
        <v>4260</v>
      </c>
      <c r="AG112" s="40">
        <f>IF([2]Setup!$B$21=[2]Setup!$V$19,'[2]Country populations'!BA113,'[2]Country populations'!BL113)</f>
        <v>3948</v>
      </c>
      <c r="AH112" s="40">
        <f>IF([2]Setup!$B$21=[2]Setup!$V$19,'[2]Country populations'!BB113,'[2]Country populations'!BM113)</f>
        <v>3657</v>
      </c>
      <c r="AI112" s="40">
        <f>IF([2]Setup!$B$21=[2]Setup!$V$19,'[2]Country populations'!BC113,'[2]Country populations'!BN113)</f>
        <v>3389</v>
      </c>
      <c r="AJ112" s="40">
        <f>IF([2]Setup!$B$21=[2]Setup!$V$19,'[2]Country populations'!BD113,'[2]Country populations'!BO113)</f>
        <v>3151</v>
      </c>
    </row>
    <row r="113" spans="1:36" x14ac:dyDescent="0.25">
      <c r="A113" t="str">
        <f>'[2]Country populations'!A114</f>
        <v>Malta</v>
      </c>
      <c r="B113" s="40">
        <f>IF([2]Setup!$B$19=[2]Setup!$T$19,'[2]Country populations'!B114,'[2]Country populations'!M114)</f>
        <v>402</v>
      </c>
      <c r="C113" s="40">
        <f>IF([2]Setup!$B$19=[2]Setup!$T$19,'[2]Country populations'!C114,'[2]Country populations'!N114)</f>
        <v>420</v>
      </c>
      <c r="D113" s="40">
        <f>IF([2]Setup!$B$19=[2]Setup!$T$19,'[2]Country populations'!D114,'[2]Country populations'!O114)</f>
        <v>438</v>
      </c>
      <c r="E113" s="40">
        <f>IF([2]Setup!$B$19=[2]Setup!$T$19,'[2]Country populations'!E114,'[2]Country populations'!P114)</f>
        <v>457</v>
      </c>
      <c r="F113" s="40">
        <f>IF([2]Setup!$B$19=[2]Setup!$T$19,'[2]Country populations'!F114,'[2]Country populations'!Q114)</f>
        <v>475</v>
      </c>
      <c r="G113" s="40">
        <f>IF([2]Setup!$B$19=[2]Setup!$T$19,'[2]Country populations'!G114,'[2]Country populations'!R114)</f>
        <v>494</v>
      </c>
      <c r="H113" s="40">
        <f>IF([2]Setup!$B$19=[2]Setup!$T$19,'[2]Country populations'!H114,'[2]Country populations'!S114)</f>
        <v>513</v>
      </c>
      <c r="I113" s="40">
        <f>IF([2]Setup!$B$19=[2]Setup!$T$19,'[2]Country populations'!I114,'[2]Country populations'!T114)</f>
        <v>531</v>
      </c>
      <c r="J113" s="40">
        <f>IF([2]Setup!$B$19=[2]Setup!$T$19,'[2]Country populations'!J114,'[2]Country populations'!U114)</f>
        <v>549</v>
      </c>
      <c r="K113" s="40">
        <f>IF([2]Setup!$B$19=[2]Setup!$T$19,'[2]Country populations'!K114,'[2]Country populations'!V114)</f>
        <v>566</v>
      </c>
      <c r="L113" s="40">
        <f>IF([2]Setup!$B$19=[2]Setup!$T$19,'[2]Country populations'!L114,'[2]Country populations'!W114)</f>
        <v>583</v>
      </c>
      <c r="M113" s="40" t="str">
        <f t="shared" si="4"/>
        <v>Malta</v>
      </c>
      <c r="N113" s="40">
        <f>IF([2]Setup!$B$20=[2]Setup!$U$19,'[2]Country populations'!X114,'[2]Country populations'!AI114)</f>
        <v>5</v>
      </c>
      <c r="O113" s="40">
        <f>IF([2]Setup!$B$20=[2]Setup!$U$19,'[2]Country populations'!Y114,'[2]Country populations'!AJ114)</f>
        <v>5</v>
      </c>
      <c r="P113" s="40">
        <f>IF([2]Setup!$B$20=[2]Setup!$U$19,'[2]Country populations'!Z114,'[2]Country populations'!AK114)</f>
        <v>5</v>
      </c>
      <c r="Q113" s="40">
        <f>IF([2]Setup!$B$20=[2]Setup!$U$19,'[2]Country populations'!AA114,'[2]Country populations'!AL114)</f>
        <v>5</v>
      </c>
      <c r="R113" s="40">
        <f>IF([2]Setup!$B$20=[2]Setup!$U$19,'[2]Country populations'!AB114,'[2]Country populations'!AM114)</f>
        <v>6</v>
      </c>
      <c r="S113" s="40">
        <f>IF([2]Setup!$B$20=[2]Setup!$U$19,'[2]Country populations'!AC114,'[2]Country populations'!AN114)</f>
        <v>6</v>
      </c>
      <c r="T113" s="40">
        <f>IF([2]Setup!$B$20=[2]Setup!$U$19,'[2]Country populations'!AD114,'[2]Country populations'!AO114)</f>
        <v>6</v>
      </c>
      <c r="U113" s="40">
        <f>IF([2]Setup!$B$20=[2]Setup!$U$19,'[2]Country populations'!AE114,'[2]Country populations'!AP114)</f>
        <v>6</v>
      </c>
      <c r="V113" s="40">
        <f>IF([2]Setup!$B$20=[2]Setup!$U$19,'[2]Country populations'!AF114,'[2]Country populations'!AQ114)</f>
        <v>6</v>
      </c>
      <c r="W113" s="40">
        <f>IF([2]Setup!$B$20=[2]Setup!$U$19,'[2]Country populations'!AG114,'[2]Country populations'!AR114)</f>
        <v>6</v>
      </c>
      <c r="X113" s="40">
        <f>IF([2]Setup!$B$20=[2]Setup!$U$19,'[2]Country populations'!AH114,'[2]Country populations'!AS114)</f>
        <v>7</v>
      </c>
      <c r="Y113" s="40" t="str">
        <f t="shared" si="5"/>
        <v>Malta</v>
      </c>
      <c r="Z113" s="40">
        <f>IF([2]Setup!$B$21=[2]Setup!$V$19,'[2]Country populations'!AT114,'[2]Country populations'!BE114)</f>
        <v>2</v>
      </c>
      <c r="AA113" s="40">
        <f>IF([2]Setup!$B$21=[2]Setup!$V$19,'[2]Country populations'!AU114,'[2]Country populations'!BF114)</f>
        <v>2</v>
      </c>
      <c r="AB113" s="40">
        <f>IF([2]Setup!$B$21=[2]Setup!$V$19,'[2]Country populations'!AV114,'[2]Country populations'!BG114)</f>
        <v>2</v>
      </c>
      <c r="AC113" s="40">
        <f>IF([2]Setup!$B$21=[2]Setup!$V$19,'[2]Country populations'!AW114,'[2]Country populations'!BH114)</f>
        <v>2</v>
      </c>
      <c r="AD113" s="40">
        <f>IF([2]Setup!$B$21=[2]Setup!$V$19,'[2]Country populations'!AX114,'[2]Country populations'!BI114)</f>
        <v>3</v>
      </c>
      <c r="AE113" s="40">
        <f>IF([2]Setup!$B$21=[2]Setup!$V$19,'[2]Country populations'!AY114,'[2]Country populations'!BJ114)</f>
        <v>3</v>
      </c>
      <c r="AF113" s="40">
        <f>IF([2]Setup!$B$21=[2]Setup!$V$19,'[2]Country populations'!AZ114,'[2]Country populations'!BK114)</f>
        <v>3</v>
      </c>
      <c r="AG113" s="40">
        <f>IF([2]Setup!$B$21=[2]Setup!$V$19,'[2]Country populations'!BA114,'[2]Country populations'!BL114)</f>
        <v>3</v>
      </c>
      <c r="AH113" s="40">
        <f>IF([2]Setup!$B$21=[2]Setup!$V$19,'[2]Country populations'!BB114,'[2]Country populations'!BM114)</f>
        <v>3</v>
      </c>
      <c r="AI113" s="40">
        <f>IF([2]Setup!$B$21=[2]Setup!$V$19,'[2]Country populations'!BC114,'[2]Country populations'!BN114)</f>
        <v>3</v>
      </c>
      <c r="AJ113" s="40">
        <f>IF([2]Setup!$B$21=[2]Setup!$V$19,'[2]Country populations'!BD114,'[2]Country populations'!BO114)</f>
        <v>3</v>
      </c>
    </row>
    <row r="114" spans="1:36" x14ac:dyDescent="0.25">
      <c r="A114" t="str">
        <f>'[2]Country populations'!A115</f>
        <v>Martinique</v>
      </c>
      <c r="B114" s="40">
        <f>IF([2]Setup!$B$19=[2]Setup!$T$19,'[2]Country populations'!B115,'[2]Country populations'!M115)</f>
        <v>0</v>
      </c>
      <c r="C114" s="40">
        <f>IF([2]Setup!$B$19=[2]Setup!$T$19,'[2]Country populations'!C115,'[2]Country populations'!N115)</f>
        <v>0</v>
      </c>
      <c r="D114" s="40">
        <f>IF([2]Setup!$B$19=[2]Setup!$T$19,'[2]Country populations'!D115,'[2]Country populations'!O115)</f>
        <v>0</v>
      </c>
      <c r="E114" s="40">
        <f>IF([2]Setup!$B$19=[2]Setup!$T$19,'[2]Country populations'!E115,'[2]Country populations'!P115)</f>
        <v>0</v>
      </c>
      <c r="F114" s="40">
        <f>IF([2]Setup!$B$19=[2]Setup!$T$19,'[2]Country populations'!F115,'[2]Country populations'!Q115)</f>
        <v>0</v>
      </c>
      <c r="G114" s="40">
        <f>IF([2]Setup!$B$19=[2]Setup!$T$19,'[2]Country populations'!G115,'[2]Country populations'!R115)</f>
        <v>0</v>
      </c>
      <c r="H114" s="40">
        <f>IF([2]Setup!$B$19=[2]Setup!$T$19,'[2]Country populations'!H115,'[2]Country populations'!S115)</f>
        <v>0</v>
      </c>
      <c r="I114" s="40">
        <f>IF([2]Setup!$B$19=[2]Setup!$T$19,'[2]Country populations'!I115,'[2]Country populations'!T115)</f>
        <v>0</v>
      </c>
      <c r="J114" s="40">
        <f>IF([2]Setup!$B$19=[2]Setup!$T$19,'[2]Country populations'!J115,'[2]Country populations'!U115)</f>
        <v>0</v>
      </c>
      <c r="K114" s="40">
        <f>IF([2]Setup!$B$19=[2]Setup!$T$19,'[2]Country populations'!K115,'[2]Country populations'!V115)</f>
        <v>0</v>
      </c>
      <c r="L114" s="40">
        <f>IF([2]Setup!$B$19=[2]Setup!$T$19,'[2]Country populations'!L115,'[2]Country populations'!W115)</f>
        <v>0</v>
      </c>
      <c r="M114" s="40" t="str">
        <f t="shared" si="4"/>
        <v>Martinique</v>
      </c>
      <c r="N114" s="40">
        <f>IF([2]Setup!$B$20=[2]Setup!$U$19,'[2]Country populations'!X115,'[2]Country populations'!AI115)</f>
        <v>0</v>
      </c>
      <c r="O114" s="40">
        <f>IF([2]Setup!$B$20=[2]Setup!$U$19,'[2]Country populations'!Y115,'[2]Country populations'!AJ115)</f>
        <v>0</v>
      </c>
      <c r="P114" s="40">
        <f>IF([2]Setup!$B$20=[2]Setup!$U$19,'[2]Country populations'!Z115,'[2]Country populations'!AK115)</f>
        <v>0</v>
      </c>
      <c r="Q114" s="40">
        <f>IF([2]Setup!$B$20=[2]Setup!$U$19,'[2]Country populations'!AA115,'[2]Country populations'!AL115)</f>
        <v>0</v>
      </c>
      <c r="R114" s="40">
        <f>IF([2]Setup!$B$20=[2]Setup!$U$19,'[2]Country populations'!AB115,'[2]Country populations'!AM115)</f>
        <v>0</v>
      </c>
      <c r="S114" s="40">
        <f>IF([2]Setup!$B$20=[2]Setup!$U$19,'[2]Country populations'!AC115,'[2]Country populations'!AN115)</f>
        <v>0</v>
      </c>
      <c r="T114" s="40">
        <f>IF([2]Setup!$B$20=[2]Setup!$U$19,'[2]Country populations'!AD115,'[2]Country populations'!AO115)</f>
        <v>0</v>
      </c>
      <c r="U114" s="40">
        <f>IF([2]Setup!$B$20=[2]Setup!$U$19,'[2]Country populations'!AE115,'[2]Country populations'!AP115)</f>
        <v>0</v>
      </c>
      <c r="V114" s="40">
        <f>IF([2]Setup!$B$20=[2]Setup!$U$19,'[2]Country populations'!AF115,'[2]Country populations'!AQ115)</f>
        <v>0</v>
      </c>
      <c r="W114" s="40">
        <f>IF([2]Setup!$B$20=[2]Setup!$U$19,'[2]Country populations'!AG115,'[2]Country populations'!AR115)</f>
        <v>0</v>
      </c>
      <c r="X114" s="40">
        <f>IF([2]Setup!$B$20=[2]Setup!$U$19,'[2]Country populations'!AH115,'[2]Country populations'!AS115)</f>
        <v>0</v>
      </c>
      <c r="Y114" s="40" t="str">
        <f t="shared" si="5"/>
        <v>Martinique</v>
      </c>
      <c r="Z114" s="40">
        <f>IF([2]Setup!$B$21=[2]Setup!$V$19,'[2]Country populations'!AT115,'[2]Country populations'!BE115)</f>
        <v>0</v>
      </c>
      <c r="AA114" s="40">
        <f>IF([2]Setup!$B$21=[2]Setup!$V$19,'[2]Country populations'!AU115,'[2]Country populations'!BF115)</f>
        <v>0</v>
      </c>
      <c r="AB114" s="40">
        <f>IF([2]Setup!$B$21=[2]Setup!$V$19,'[2]Country populations'!AV115,'[2]Country populations'!BG115)</f>
        <v>0</v>
      </c>
      <c r="AC114" s="40">
        <f>IF([2]Setup!$B$21=[2]Setup!$V$19,'[2]Country populations'!AW115,'[2]Country populations'!BH115)</f>
        <v>0</v>
      </c>
      <c r="AD114" s="40">
        <f>IF([2]Setup!$B$21=[2]Setup!$V$19,'[2]Country populations'!AX115,'[2]Country populations'!BI115)</f>
        <v>0</v>
      </c>
      <c r="AE114" s="40">
        <f>IF([2]Setup!$B$21=[2]Setup!$V$19,'[2]Country populations'!AY115,'[2]Country populations'!BJ115)</f>
        <v>0</v>
      </c>
      <c r="AF114" s="40">
        <f>IF([2]Setup!$B$21=[2]Setup!$V$19,'[2]Country populations'!AZ115,'[2]Country populations'!BK115)</f>
        <v>0</v>
      </c>
      <c r="AG114" s="40">
        <f>IF([2]Setup!$B$21=[2]Setup!$V$19,'[2]Country populations'!BA115,'[2]Country populations'!BL115)</f>
        <v>0</v>
      </c>
      <c r="AH114" s="40">
        <f>IF([2]Setup!$B$21=[2]Setup!$V$19,'[2]Country populations'!BB115,'[2]Country populations'!BM115)</f>
        <v>0</v>
      </c>
      <c r="AI114" s="40">
        <f>IF([2]Setup!$B$21=[2]Setup!$V$19,'[2]Country populations'!BC115,'[2]Country populations'!BN115)</f>
        <v>0</v>
      </c>
      <c r="AJ114" s="40">
        <f>IF([2]Setup!$B$21=[2]Setup!$V$19,'[2]Country populations'!BD115,'[2]Country populations'!BO115)</f>
        <v>0</v>
      </c>
    </row>
    <row r="115" spans="1:36" x14ac:dyDescent="0.25">
      <c r="A115" t="str">
        <f>'[2]Country populations'!A116</f>
        <v>Mauritania</v>
      </c>
      <c r="B115" s="40">
        <f>IF([2]Setup!$B$19=[2]Setup!$T$19,'[2]Country populations'!B116,'[2]Country populations'!M116)</f>
        <v>7813</v>
      </c>
      <c r="C115" s="40">
        <f>IF([2]Setup!$B$19=[2]Setup!$T$19,'[2]Country populations'!C116,'[2]Country populations'!N116)</f>
        <v>7629</v>
      </c>
      <c r="D115" s="40">
        <f>IF([2]Setup!$B$19=[2]Setup!$T$19,'[2]Country populations'!D116,'[2]Country populations'!O116)</f>
        <v>7528</v>
      </c>
      <c r="E115" s="40">
        <f>IF([2]Setup!$B$19=[2]Setup!$T$19,'[2]Country populations'!E116,'[2]Country populations'!P116)</f>
        <v>7476</v>
      </c>
      <c r="F115" s="40">
        <f>IF([2]Setup!$B$19=[2]Setup!$T$19,'[2]Country populations'!F116,'[2]Country populations'!Q116)</f>
        <v>7451</v>
      </c>
      <c r="G115" s="40">
        <f>IF([2]Setup!$B$19=[2]Setup!$T$19,'[2]Country populations'!G116,'[2]Country populations'!R116)</f>
        <v>7442</v>
      </c>
      <c r="H115" s="40">
        <f>IF([2]Setup!$B$19=[2]Setup!$T$19,'[2]Country populations'!H116,'[2]Country populations'!S116)</f>
        <v>7442</v>
      </c>
      <c r="I115" s="40">
        <f>IF([2]Setup!$B$19=[2]Setup!$T$19,'[2]Country populations'!I116,'[2]Country populations'!T116)</f>
        <v>7442</v>
      </c>
      <c r="J115" s="40">
        <f>IF([2]Setup!$B$19=[2]Setup!$T$19,'[2]Country populations'!J116,'[2]Country populations'!U116)</f>
        <v>7441</v>
      </c>
      <c r="K115" s="40">
        <f>IF([2]Setup!$B$19=[2]Setup!$T$19,'[2]Country populations'!K116,'[2]Country populations'!V116)</f>
        <v>7438</v>
      </c>
      <c r="L115" s="40">
        <f>IF([2]Setup!$B$19=[2]Setup!$T$19,'[2]Country populations'!L116,'[2]Country populations'!W116)</f>
        <v>7432</v>
      </c>
      <c r="M115" s="40" t="str">
        <f t="shared" si="4"/>
        <v>Mauritania</v>
      </c>
      <c r="N115" s="40">
        <f>IF([2]Setup!$B$20=[2]Setup!$U$19,'[2]Country populations'!X116,'[2]Country populations'!AI116)</f>
        <v>895</v>
      </c>
      <c r="O115" s="40">
        <f>IF([2]Setup!$B$20=[2]Setup!$U$19,'[2]Country populations'!Y116,'[2]Country populations'!AJ116)</f>
        <v>806</v>
      </c>
      <c r="P115" s="40">
        <f>IF([2]Setup!$B$20=[2]Setup!$U$19,'[2]Country populations'!Z116,'[2]Country populations'!AK116)</f>
        <v>718</v>
      </c>
      <c r="Q115" s="40">
        <f>IF([2]Setup!$B$20=[2]Setup!$U$19,'[2]Country populations'!AA116,'[2]Country populations'!AL116)</f>
        <v>632</v>
      </c>
      <c r="R115" s="40">
        <f>IF([2]Setup!$B$20=[2]Setup!$U$19,'[2]Country populations'!AB116,'[2]Country populations'!AM116)</f>
        <v>549</v>
      </c>
      <c r="S115" s="40">
        <f>IF([2]Setup!$B$20=[2]Setup!$U$19,'[2]Country populations'!AC116,'[2]Country populations'!AN116)</f>
        <v>471</v>
      </c>
      <c r="T115" s="40">
        <f>IF([2]Setup!$B$20=[2]Setup!$U$19,'[2]Country populations'!AD116,'[2]Country populations'!AO116)</f>
        <v>399</v>
      </c>
      <c r="U115" s="40">
        <f>IF([2]Setup!$B$20=[2]Setup!$U$19,'[2]Country populations'!AE116,'[2]Country populations'!AP116)</f>
        <v>334</v>
      </c>
      <c r="V115" s="40">
        <f>IF([2]Setup!$B$20=[2]Setup!$U$19,'[2]Country populations'!AF116,'[2]Country populations'!AQ116)</f>
        <v>273</v>
      </c>
      <c r="W115" s="40">
        <f>IF([2]Setup!$B$20=[2]Setup!$U$19,'[2]Country populations'!AG116,'[2]Country populations'!AR116)</f>
        <v>218</v>
      </c>
      <c r="X115" s="40">
        <f>IF([2]Setup!$B$20=[2]Setup!$U$19,'[2]Country populations'!AH116,'[2]Country populations'!AS116)</f>
        <v>169</v>
      </c>
      <c r="Y115" s="40" t="str">
        <f t="shared" si="5"/>
        <v>Mauritania</v>
      </c>
      <c r="Z115" s="40">
        <f>IF([2]Setup!$B$21=[2]Setup!$V$19,'[2]Country populations'!AT116,'[2]Country populations'!BE116)</f>
        <v>401</v>
      </c>
      <c r="AA115" s="40">
        <f>IF([2]Setup!$B$21=[2]Setup!$V$19,'[2]Country populations'!AU116,'[2]Country populations'!BF116)</f>
        <v>365</v>
      </c>
      <c r="AB115" s="40">
        <f>IF([2]Setup!$B$21=[2]Setup!$V$19,'[2]Country populations'!AV116,'[2]Country populations'!BG116)</f>
        <v>341</v>
      </c>
      <c r="AC115" s="40">
        <f>IF([2]Setup!$B$21=[2]Setup!$V$19,'[2]Country populations'!AW116,'[2]Country populations'!BH116)</f>
        <v>321</v>
      </c>
      <c r="AD115" s="40">
        <f>IF([2]Setup!$B$21=[2]Setup!$V$19,'[2]Country populations'!AX116,'[2]Country populations'!BI116)</f>
        <v>303</v>
      </c>
      <c r="AE115" s="40">
        <f>IF([2]Setup!$B$21=[2]Setup!$V$19,'[2]Country populations'!AY116,'[2]Country populations'!BJ116)</f>
        <v>287</v>
      </c>
      <c r="AF115" s="40">
        <f>IF([2]Setup!$B$21=[2]Setup!$V$19,'[2]Country populations'!AZ116,'[2]Country populations'!BK116)</f>
        <v>270</v>
      </c>
      <c r="AG115" s="40">
        <f>IF([2]Setup!$B$21=[2]Setup!$V$19,'[2]Country populations'!BA116,'[2]Country populations'!BL116)</f>
        <v>252</v>
      </c>
      <c r="AH115" s="40">
        <f>IF([2]Setup!$B$21=[2]Setup!$V$19,'[2]Country populations'!BB116,'[2]Country populations'!BM116)</f>
        <v>235</v>
      </c>
      <c r="AI115" s="40">
        <f>IF([2]Setup!$B$21=[2]Setup!$V$19,'[2]Country populations'!BC116,'[2]Country populations'!BN116)</f>
        <v>219</v>
      </c>
      <c r="AJ115" s="40">
        <f>IF([2]Setup!$B$21=[2]Setup!$V$19,'[2]Country populations'!BD116,'[2]Country populations'!BO116)</f>
        <v>205</v>
      </c>
    </row>
    <row r="116" spans="1:36" x14ac:dyDescent="0.25">
      <c r="A116" t="str">
        <f>'[2]Country populations'!A117</f>
        <v>Mauritius</v>
      </c>
      <c r="B116" s="40">
        <f>IF([2]Setup!$B$19=[2]Setup!$T$19,'[2]Country populations'!B117,'[2]Country populations'!M117)</f>
        <v>11140</v>
      </c>
      <c r="C116" s="40">
        <f>IF([2]Setup!$B$19=[2]Setup!$T$19,'[2]Country populations'!C117,'[2]Country populations'!N117)</f>
        <v>10903</v>
      </c>
      <c r="D116" s="40">
        <f>IF([2]Setup!$B$19=[2]Setup!$T$19,'[2]Country populations'!D117,'[2]Country populations'!O117)</f>
        <v>10678</v>
      </c>
      <c r="E116" s="40">
        <f>IF([2]Setup!$B$19=[2]Setup!$T$19,'[2]Country populations'!E117,'[2]Country populations'!P117)</f>
        <v>10491</v>
      </c>
      <c r="F116" s="40">
        <f>IF([2]Setup!$B$19=[2]Setup!$T$19,'[2]Country populations'!F117,'[2]Country populations'!Q117)</f>
        <v>10349</v>
      </c>
      <c r="G116" s="40">
        <f>IF([2]Setup!$B$19=[2]Setup!$T$19,'[2]Country populations'!G117,'[2]Country populations'!R117)</f>
        <v>10249</v>
      </c>
      <c r="H116" s="40">
        <f>IF([2]Setup!$B$19=[2]Setup!$T$19,'[2]Country populations'!H117,'[2]Country populations'!S117)</f>
        <v>10155</v>
      </c>
      <c r="I116" s="40">
        <f>IF([2]Setup!$B$19=[2]Setup!$T$19,'[2]Country populations'!I117,'[2]Country populations'!T117)</f>
        <v>10039</v>
      </c>
      <c r="J116" s="40">
        <f>IF([2]Setup!$B$19=[2]Setup!$T$19,'[2]Country populations'!J117,'[2]Country populations'!U117)</f>
        <v>9905</v>
      </c>
      <c r="K116" s="40">
        <f>IF([2]Setup!$B$19=[2]Setup!$T$19,'[2]Country populations'!K117,'[2]Country populations'!V117)</f>
        <v>9755</v>
      </c>
      <c r="L116" s="40">
        <f>IF([2]Setup!$B$19=[2]Setup!$T$19,'[2]Country populations'!L117,'[2]Country populations'!W117)</f>
        <v>9594</v>
      </c>
      <c r="M116" s="40" t="str">
        <f t="shared" si="4"/>
        <v>Mauritius</v>
      </c>
      <c r="N116" s="40">
        <f>IF([2]Setup!$B$20=[2]Setup!$U$19,'[2]Country populations'!X117,'[2]Country populations'!AI117)</f>
        <v>256</v>
      </c>
      <c r="O116" s="40">
        <f>IF([2]Setup!$B$20=[2]Setup!$U$19,'[2]Country populations'!Y117,'[2]Country populations'!AJ117)</f>
        <v>261</v>
      </c>
      <c r="P116" s="40">
        <f>IF([2]Setup!$B$20=[2]Setup!$U$19,'[2]Country populations'!Z117,'[2]Country populations'!AK117)</f>
        <v>258</v>
      </c>
      <c r="Q116" s="40">
        <f>IF([2]Setup!$B$20=[2]Setup!$U$19,'[2]Country populations'!AA117,'[2]Country populations'!AL117)</f>
        <v>252</v>
      </c>
      <c r="R116" s="40">
        <f>IF([2]Setup!$B$20=[2]Setup!$U$19,'[2]Country populations'!AB117,'[2]Country populations'!AM117)</f>
        <v>246</v>
      </c>
      <c r="S116" s="40">
        <f>IF([2]Setup!$B$20=[2]Setup!$U$19,'[2]Country populations'!AC117,'[2]Country populations'!AN117)</f>
        <v>240</v>
      </c>
      <c r="T116" s="40">
        <f>IF([2]Setup!$B$20=[2]Setup!$U$19,'[2]Country populations'!AD117,'[2]Country populations'!AO117)</f>
        <v>236</v>
      </c>
      <c r="U116" s="40">
        <f>IF([2]Setup!$B$20=[2]Setup!$U$19,'[2]Country populations'!AE117,'[2]Country populations'!AP117)</f>
        <v>232</v>
      </c>
      <c r="V116" s="40">
        <f>IF([2]Setup!$B$20=[2]Setup!$U$19,'[2]Country populations'!AF117,'[2]Country populations'!AQ117)</f>
        <v>224</v>
      </c>
      <c r="W116" s="40">
        <f>IF([2]Setup!$B$20=[2]Setup!$U$19,'[2]Country populations'!AG117,'[2]Country populations'!AR117)</f>
        <v>216</v>
      </c>
      <c r="X116" s="40">
        <f>IF([2]Setup!$B$20=[2]Setup!$U$19,'[2]Country populations'!AH117,'[2]Country populations'!AS117)</f>
        <v>209</v>
      </c>
      <c r="Y116" s="40" t="str">
        <f t="shared" si="5"/>
        <v>Mauritius</v>
      </c>
      <c r="Z116" s="40">
        <f>IF([2]Setup!$B$21=[2]Setup!$V$19,'[2]Country populations'!AT117,'[2]Country populations'!BE117)</f>
        <v>74</v>
      </c>
      <c r="AA116" s="40">
        <f>IF([2]Setup!$B$21=[2]Setup!$V$19,'[2]Country populations'!AU117,'[2]Country populations'!BF117)</f>
        <v>71</v>
      </c>
      <c r="AB116" s="40">
        <f>IF([2]Setup!$B$21=[2]Setup!$V$19,'[2]Country populations'!AV117,'[2]Country populations'!BG117)</f>
        <v>68</v>
      </c>
      <c r="AC116" s="40">
        <f>IF([2]Setup!$B$21=[2]Setup!$V$19,'[2]Country populations'!AW117,'[2]Country populations'!BH117)</f>
        <v>65</v>
      </c>
      <c r="AD116" s="40">
        <f>IF([2]Setup!$B$21=[2]Setup!$V$19,'[2]Country populations'!AX117,'[2]Country populations'!BI117)</f>
        <v>63</v>
      </c>
      <c r="AE116" s="40">
        <f>IF([2]Setup!$B$21=[2]Setup!$V$19,'[2]Country populations'!AY117,'[2]Country populations'!BJ117)</f>
        <v>61</v>
      </c>
      <c r="AF116" s="40">
        <f>IF([2]Setup!$B$21=[2]Setup!$V$19,'[2]Country populations'!AZ117,'[2]Country populations'!BK117)</f>
        <v>60</v>
      </c>
      <c r="AG116" s="40">
        <f>IF([2]Setup!$B$21=[2]Setup!$V$19,'[2]Country populations'!BA117,'[2]Country populations'!BL117)</f>
        <v>57</v>
      </c>
      <c r="AH116" s="40">
        <f>IF([2]Setup!$B$21=[2]Setup!$V$19,'[2]Country populations'!BB117,'[2]Country populations'!BM117)</f>
        <v>55</v>
      </c>
      <c r="AI116" s="40">
        <f>IF([2]Setup!$B$21=[2]Setup!$V$19,'[2]Country populations'!BC117,'[2]Country populations'!BN117)</f>
        <v>53</v>
      </c>
      <c r="AJ116" s="40">
        <f>IF([2]Setup!$B$21=[2]Setup!$V$19,'[2]Country populations'!BD117,'[2]Country populations'!BO117)</f>
        <v>51</v>
      </c>
    </row>
    <row r="117" spans="1:36" x14ac:dyDescent="0.25">
      <c r="A117" t="str">
        <f>'[2]Country populations'!A118</f>
        <v>Mayotte</v>
      </c>
      <c r="B117" s="40">
        <f>IF([2]Setup!$B$19=[2]Setup!$T$19,'[2]Country populations'!B118,'[2]Country populations'!M118)</f>
        <v>0</v>
      </c>
      <c r="C117" s="40">
        <f>IF([2]Setup!$B$19=[2]Setup!$T$19,'[2]Country populations'!C118,'[2]Country populations'!N118)</f>
        <v>0</v>
      </c>
      <c r="D117" s="40">
        <f>IF([2]Setup!$B$19=[2]Setup!$T$19,'[2]Country populations'!D118,'[2]Country populations'!O118)</f>
        <v>0</v>
      </c>
      <c r="E117" s="40">
        <f>IF([2]Setup!$B$19=[2]Setup!$T$19,'[2]Country populations'!E118,'[2]Country populations'!P118)</f>
        <v>0</v>
      </c>
      <c r="F117" s="40">
        <f>IF([2]Setup!$B$19=[2]Setup!$T$19,'[2]Country populations'!F118,'[2]Country populations'!Q118)</f>
        <v>0</v>
      </c>
      <c r="G117" s="40">
        <f>IF([2]Setup!$B$19=[2]Setup!$T$19,'[2]Country populations'!G118,'[2]Country populations'!R118)</f>
        <v>0</v>
      </c>
      <c r="H117" s="40">
        <f>IF([2]Setup!$B$19=[2]Setup!$T$19,'[2]Country populations'!H118,'[2]Country populations'!S118)</f>
        <v>0</v>
      </c>
      <c r="I117" s="40">
        <f>IF([2]Setup!$B$19=[2]Setup!$T$19,'[2]Country populations'!I118,'[2]Country populations'!T118)</f>
        <v>0</v>
      </c>
      <c r="J117" s="40">
        <f>IF([2]Setup!$B$19=[2]Setup!$T$19,'[2]Country populations'!J118,'[2]Country populations'!U118)</f>
        <v>0</v>
      </c>
      <c r="K117" s="40">
        <f>IF([2]Setup!$B$19=[2]Setup!$T$19,'[2]Country populations'!K118,'[2]Country populations'!V118)</f>
        <v>0</v>
      </c>
      <c r="L117" s="40">
        <f>IF([2]Setup!$B$19=[2]Setup!$T$19,'[2]Country populations'!L118,'[2]Country populations'!W118)</f>
        <v>0</v>
      </c>
      <c r="M117" s="40" t="str">
        <f t="shared" si="4"/>
        <v>Mayotte</v>
      </c>
      <c r="N117" s="40">
        <f>IF([2]Setup!$B$20=[2]Setup!$U$19,'[2]Country populations'!X118,'[2]Country populations'!AI118)</f>
        <v>0</v>
      </c>
      <c r="O117" s="40">
        <f>IF([2]Setup!$B$20=[2]Setup!$U$19,'[2]Country populations'!Y118,'[2]Country populations'!AJ118)</f>
        <v>0</v>
      </c>
      <c r="P117" s="40">
        <f>IF([2]Setup!$B$20=[2]Setup!$U$19,'[2]Country populations'!Z118,'[2]Country populations'!AK118)</f>
        <v>0</v>
      </c>
      <c r="Q117" s="40">
        <f>IF([2]Setup!$B$20=[2]Setup!$U$19,'[2]Country populations'!AA118,'[2]Country populations'!AL118)</f>
        <v>0</v>
      </c>
      <c r="R117" s="40">
        <f>IF([2]Setup!$B$20=[2]Setup!$U$19,'[2]Country populations'!AB118,'[2]Country populations'!AM118)</f>
        <v>0</v>
      </c>
      <c r="S117" s="40">
        <f>IF([2]Setup!$B$20=[2]Setup!$U$19,'[2]Country populations'!AC118,'[2]Country populations'!AN118)</f>
        <v>0</v>
      </c>
      <c r="T117" s="40">
        <f>IF([2]Setup!$B$20=[2]Setup!$U$19,'[2]Country populations'!AD118,'[2]Country populations'!AO118)</f>
        <v>0</v>
      </c>
      <c r="U117" s="40">
        <f>IF([2]Setup!$B$20=[2]Setup!$U$19,'[2]Country populations'!AE118,'[2]Country populations'!AP118)</f>
        <v>0</v>
      </c>
      <c r="V117" s="40">
        <f>IF([2]Setup!$B$20=[2]Setup!$U$19,'[2]Country populations'!AF118,'[2]Country populations'!AQ118)</f>
        <v>0</v>
      </c>
      <c r="W117" s="40">
        <f>IF([2]Setup!$B$20=[2]Setup!$U$19,'[2]Country populations'!AG118,'[2]Country populations'!AR118)</f>
        <v>0</v>
      </c>
      <c r="X117" s="40">
        <f>IF([2]Setup!$B$20=[2]Setup!$U$19,'[2]Country populations'!AH118,'[2]Country populations'!AS118)</f>
        <v>0</v>
      </c>
      <c r="Y117" s="40" t="str">
        <f t="shared" si="5"/>
        <v>Mayotte</v>
      </c>
      <c r="Z117" s="40">
        <f>IF([2]Setup!$B$21=[2]Setup!$V$19,'[2]Country populations'!AT118,'[2]Country populations'!BE118)</f>
        <v>0</v>
      </c>
      <c r="AA117" s="40">
        <f>IF([2]Setup!$B$21=[2]Setup!$V$19,'[2]Country populations'!AU118,'[2]Country populations'!BF118)</f>
        <v>0</v>
      </c>
      <c r="AB117" s="40">
        <f>IF([2]Setup!$B$21=[2]Setup!$V$19,'[2]Country populations'!AV118,'[2]Country populations'!BG118)</f>
        <v>0</v>
      </c>
      <c r="AC117" s="40">
        <f>IF([2]Setup!$B$21=[2]Setup!$V$19,'[2]Country populations'!AW118,'[2]Country populations'!BH118)</f>
        <v>0</v>
      </c>
      <c r="AD117" s="40">
        <f>IF([2]Setup!$B$21=[2]Setup!$V$19,'[2]Country populations'!AX118,'[2]Country populations'!BI118)</f>
        <v>0</v>
      </c>
      <c r="AE117" s="40">
        <f>IF([2]Setup!$B$21=[2]Setup!$V$19,'[2]Country populations'!AY118,'[2]Country populations'!BJ118)</f>
        <v>0</v>
      </c>
      <c r="AF117" s="40">
        <f>IF([2]Setup!$B$21=[2]Setup!$V$19,'[2]Country populations'!AZ118,'[2]Country populations'!BK118)</f>
        <v>0</v>
      </c>
      <c r="AG117" s="40">
        <f>IF([2]Setup!$B$21=[2]Setup!$V$19,'[2]Country populations'!BA118,'[2]Country populations'!BL118)</f>
        <v>0</v>
      </c>
      <c r="AH117" s="40">
        <f>IF([2]Setup!$B$21=[2]Setup!$V$19,'[2]Country populations'!BB118,'[2]Country populations'!BM118)</f>
        <v>0</v>
      </c>
      <c r="AI117" s="40">
        <f>IF([2]Setup!$B$21=[2]Setup!$V$19,'[2]Country populations'!BC118,'[2]Country populations'!BN118)</f>
        <v>0</v>
      </c>
      <c r="AJ117" s="40">
        <f>IF([2]Setup!$B$21=[2]Setup!$V$19,'[2]Country populations'!BD118,'[2]Country populations'!BO118)</f>
        <v>0</v>
      </c>
    </row>
    <row r="118" spans="1:36" x14ac:dyDescent="0.25">
      <c r="A118" t="str">
        <f>'[2]Country populations'!A119</f>
        <v>Melanesia</v>
      </c>
      <c r="B118" s="40">
        <f>IF([2]Setup!$B$19=[2]Setup!$T$19,'[2]Country populations'!B119,'[2]Country populations'!M119)</f>
        <v>0</v>
      </c>
      <c r="C118" s="40">
        <f>IF([2]Setup!$B$19=[2]Setup!$T$19,'[2]Country populations'!C119,'[2]Country populations'!N119)</f>
        <v>0</v>
      </c>
      <c r="D118" s="40">
        <f>IF([2]Setup!$B$19=[2]Setup!$T$19,'[2]Country populations'!D119,'[2]Country populations'!O119)</f>
        <v>0</v>
      </c>
      <c r="E118" s="40">
        <f>IF([2]Setup!$B$19=[2]Setup!$T$19,'[2]Country populations'!E119,'[2]Country populations'!P119)</f>
        <v>0</v>
      </c>
      <c r="F118" s="40">
        <f>IF([2]Setup!$B$19=[2]Setup!$T$19,'[2]Country populations'!F119,'[2]Country populations'!Q119)</f>
        <v>0</v>
      </c>
      <c r="G118" s="40">
        <f>IF([2]Setup!$B$19=[2]Setup!$T$19,'[2]Country populations'!G119,'[2]Country populations'!R119)</f>
        <v>0</v>
      </c>
      <c r="H118" s="40">
        <f>IF([2]Setup!$B$19=[2]Setup!$T$19,'[2]Country populations'!H119,'[2]Country populations'!S119)</f>
        <v>0</v>
      </c>
      <c r="I118" s="40">
        <f>IF([2]Setup!$B$19=[2]Setup!$T$19,'[2]Country populations'!I119,'[2]Country populations'!T119)</f>
        <v>0</v>
      </c>
      <c r="J118" s="40">
        <f>IF([2]Setup!$B$19=[2]Setup!$T$19,'[2]Country populations'!J119,'[2]Country populations'!U119)</f>
        <v>0</v>
      </c>
      <c r="K118" s="40">
        <f>IF([2]Setup!$B$19=[2]Setup!$T$19,'[2]Country populations'!K119,'[2]Country populations'!V119)</f>
        <v>0</v>
      </c>
      <c r="L118" s="40">
        <f>IF([2]Setup!$B$19=[2]Setup!$T$19,'[2]Country populations'!L119,'[2]Country populations'!W119)</f>
        <v>0</v>
      </c>
      <c r="M118" s="40" t="str">
        <f t="shared" si="4"/>
        <v>Melanesia</v>
      </c>
      <c r="N118" s="40">
        <f>IF([2]Setup!$B$20=[2]Setup!$U$19,'[2]Country populations'!X119,'[2]Country populations'!AI119)</f>
        <v>0</v>
      </c>
      <c r="O118" s="40">
        <f>IF([2]Setup!$B$20=[2]Setup!$U$19,'[2]Country populations'!Y119,'[2]Country populations'!AJ119)</f>
        <v>0</v>
      </c>
      <c r="P118" s="40">
        <f>IF([2]Setup!$B$20=[2]Setup!$U$19,'[2]Country populations'!Z119,'[2]Country populations'!AK119)</f>
        <v>0</v>
      </c>
      <c r="Q118" s="40">
        <f>IF([2]Setup!$B$20=[2]Setup!$U$19,'[2]Country populations'!AA119,'[2]Country populations'!AL119)</f>
        <v>0</v>
      </c>
      <c r="R118" s="40">
        <f>IF([2]Setup!$B$20=[2]Setup!$U$19,'[2]Country populations'!AB119,'[2]Country populations'!AM119)</f>
        <v>0</v>
      </c>
      <c r="S118" s="40">
        <f>IF([2]Setup!$B$20=[2]Setup!$U$19,'[2]Country populations'!AC119,'[2]Country populations'!AN119)</f>
        <v>0</v>
      </c>
      <c r="T118" s="40">
        <f>IF([2]Setup!$B$20=[2]Setup!$U$19,'[2]Country populations'!AD119,'[2]Country populations'!AO119)</f>
        <v>0</v>
      </c>
      <c r="U118" s="40">
        <f>IF([2]Setup!$B$20=[2]Setup!$U$19,'[2]Country populations'!AE119,'[2]Country populations'!AP119)</f>
        <v>0</v>
      </c>
      <c r="V118" s="40">
        <f>IF([2]Setup!$B$20=[2]Setup!$U$19,'[2]Country populations'!AF119,'[2]Country populations'!AQ119)</f>
        <v>0</v>
      </c>
      <c r="W118" s="40">
        <f>IF([2]Setup!$B$20=[2]Setup!$U$19,'[2]Country populations'!AG119,'[2]Country populations'!AR119)</f>
        <v>0</v>
      </c>
      <c r="X118" s="40">
        <f>IF([2]Setup!$B$20=[2]Setup!$U$19,'[2]Country populations'!AH119,'[2]Country populations'!AS119)</f>
        <v>0</v>
      </c>
      <c r="Y118" s="40" t="str">
        <f t="shared" si="5"/>
        <v>Melanesia</v>
      </c>
      <c r="Z118" s="40">
        <f>IF([2]Setup!$B$21=[2]Setup!$V$19,'[2]Country populations'!AT119,'[2]Country populations'!BE119)</f>
        <v>0</v>
      </c>
      <c r="AA118" s="40">
        <f>IF([2]Setup!$B$21=[2]Setup!$V$19,'[2]Country populations'!AU119,'[2]Country populations'!BF119)</f>
        <v>0</v>
      </c>
      <c r="AB118" s="40">
        <f>IF([2]Setup!$B$21=[2]Setup!$V$19,'[2]Country populations'!AV119,'[2]Country populations'!BG119)</f>
        <v>0</v>
      </c>
      <c r="AC118" s="40">
        <f>IF([2]Setup!$B$21=[2]Setup!$V$19,'[2]Country populations'!AW119,'[2]Country populations'!BH119)</f>
        <v>0</v>
      </c>
      <c r="AD118" s="40">
        <f>IF([2]Setup!$B$21=[2]Setup!$V$19,'[2]Country populations'!AX119,'[2]Country populations'!BI119)</f>
        <v>0</v>
      </c>
      <c r="AE118" s="40">
        <f>IF([2]Setup!$B$21=[2]Setup!$V$19,'[2]Country populations'!AY119,'[2]Country populations'!BJ119)</f>
        <v>0</v>
      </c>
      <c r="AF118" s="40">
        <f>IF([2]Setup!$B$21=[2]Setup!$V$19,'[2]Country populations'!AZ119,'[2]Country populations'!BK119)</f>
        <v>0</v>
      </c>
      <c r="AG118" s="40">
        <f>IF([2]Setup!$B$21=[2]Setup!$V$19,'[2]Country populations'!BA119,'[2]Country populations'!BL119)</f>
        <v>0</v>
      </c>
      <c r="AH118" s="40">
        <f>IF([2]Setup!$B$21=[2]Setup!$V$19,'[2]Country populations'!BB119,'[2]Country populations'!BM119)</f>
        <v>0</v>
      </c>
      <c r="AI118" s="40">
        <f>IF([2]Setup!$B$21=[2]Setup!$V$19,'[2]Country populations'!BC119,'[2]Country populations'!BN119)</f>
        <v>0</v>
      </c>
      <c r="AJ118" s="40">
        <f>IF([2]Setup!$B$21=[2]Setup!$V$19,'[2]Country populations'!BD119,'[2]Country populations'!BO119)</f>
        <v>0</v>
      </c>
    </row>
    <row r="119" spans="1:36" x14ac:dyDescent="0.25">
      <c r="A119" t="str">
        <f>'[2]Country populations'!A120</f>
        <v>Mexico</v>
      </c>
      <c r="B119" s="40">
        <f>IF([2]Setup!$B$19=[2]Setup!$T$19,'[2]Country populations'!B120,'[2]Country populations'!M120)</f>
        <v>189506</v>
      </c>
      <c r="C119" s="40">
        <f>IF([2]Setup!$B$19=[2]Setup!$T$19,'[2]Country populations'!C120,'[2]Country populations'!N120)</f>
        <v>189959</v>
      </c>
      <c r="D119" s="40">
        <f>IF([2]Setup!$B$19=[2]Setup!$T$19,'[2]Country populations'!D120,'[2]Country populations'!O120)</f>
        <v>188949</v>
      </c>
      <c r="E119" s="40">
        <f>IF([2]Setup!$B$19=[2]Setup!$T$19,'[2]Country populations'!E120,'[2]Country populations'!P120)</f>
        <v>187707</v>
      </c>
      <c r="F119" s="40">
        <f>IF([2]Setup!$B$19=[2]Setup!$T$19,'[2]Country populations'!F120,'[2]Country populations'!Q120)</f>
        <v>186283</v>
      </c>
      <c r="G119" s="40">
        <f>IF([2]Setup!$B$19=[2]Setup!$T$19,'[2]Country populations'!G120,'[2]Country populations'!R120)</f>
        <v>184981</v>
      </c>
      <c r="H119" s="40">
        <f>IF([2]Setup!$B$19=[2]Setup!$T$19,'[2]Country populations'!H120,'[2]Country populations'!S120)</f>
        <v>183719</v>
      </c>
      <c r="I119" s="40">
        <f>IF([2]Setup!$B$19=[2]Setup!$T$19,'[2]Country populations'!I120,'[2]Country populations'!T120)</f>
        <v>182363</v>
      </c>
      <c r="J119" s="40">
        <f>IF([2]Setup!$B$19=[2]Setup!$T$19,'[2]Country populations'!J120,'[2]Country populations'!U120)</f>
        <v>180889</v>
      </c>
      <c r="K119" s="40">
        <f>IF([2]Setup!$B$19=[2]Setup!$T$19,'[2]Country populations'!K120,'[2]Country populations'!V120)</f>
        <v>179309</v>
      </c>
      <c r="L119" s="40">
        <f>IF([2]Setup!$B$19=[2]Setup!$T$19,'[2]Country populations'!L120,'[2]Country populations'!W120)</f>
        <v>177635</v>
      </c>
      <c r="M119" s="40" t="str">
        <f t="shared" si="4"/>
        <v>Mexico</v>
      </c>
      <c r="N119" s="40">
        <f>IF([2]Setup!$B$20=[2]Setup!$U$19,'[2]Country populations'!X120,'[2]Country populations'!AI120)</f>
        <v>2384</v>
      </c>
      <c r="O119" s="40">
        <f>IF([2]Setup!$B$20=[2]Setup!$U$19,'[2]Country populations'!Y120,'[2]Country populations'!AJ120)</f>
        <v>2253</v>
      </c>
      <c r="P119" s="40">
        <f>IF([2]Setup!$B$20=[2]Setup!$U$19,'[2]Country populations'!Z120,'[2]Country populations'!AK120)</f>
        <v>2115</v>
      </c>
      <c r="Q119" s="40">
        <f>IF([2]Setup!$B$20=[2]Setup!$U$19,'[2]Country populations'!AA120,'[2]Country populations'!AL120)</f>
        <v>1968</v>
      </c>
      <c r="R119" s="40">
        <f>IF([2]Setup!$B$20=[2]Setup!$U$19,'[2]Country populations'!AB120,'[2]Country populations'!AM120)</f>
        <v>1812</v>
      </c>
      <c r="S119" s="40">
        <f>IF([2]Setup!$B$20=[2]Setup!$U$19,'[2]Country populations'!AC120,'[2]Country populations'!AN120)</f>
        <v>1713</v>
      </c>
      <c r="T119" s="40">
        <f>IF([2]Setup!$B$20=[2]Setup!$U$19,'[2]Country populations'!AD120,'[2]Country populations'!AO120)</f>
        <v>1620</v>
      </c>
      <c r="U119" s="40">
        <f>IF([2]Setup!$B$20=[2]Setup!$U$19,'[2]Country populations'!AE120,'[2]Country populations'!AP120)</f>
        <v>1504</v>
      </c>
      <c r="V119" s="40">
        <f>IF([2]Setup!$B$20=[2]Setup!$U$19,'[2]Country populations'!AF120,'[2]Country populations'!AQ120)</f>
        <v>1389</v>
      </c>
      <c r="W119" s="40">
        <f>IF([2]Setup!$B$20=[2]Setup!$U$19,'[2]Country populations'!AG120,'[2]Country populations'!AR120)</f>
        <v>1258</v>
      </c>
      <c r="X119" s="40">
        <f>IF([2]Setup!$B$20=[2]Setup!$U$19,'[2]Country populations'!AH120,'[2]Country populations'!AS120)</f>
        <v>1115</v>
      </c>
      <c r="Y119" s="40" t="str">
        <f t="shared" si="5"/>
        <v>Mexico</v>
      </c>
      <c r="Z119" s="40">
        <f>IF([2]Setup!$B$21=[2]Setup!$V$19,'[2]Country populations'!AT120,'[2]Country populations'!BE120)</f>
        <v>1355</v>
      </c>
      <c r="AA119" s="40">
        <f>IF([2]Setup!$B$21=[2]Setup!$V$19,'[2]Country populations'!AU120,'[2]Country populations'!BF120)</f>
        <v>1282</v>
      </c>
      <c r="AB119" s="40">
        <f>IF([2]Setup!$B$21=[2]Setup!$V$19,'[2]Country populations'!AV120,'[2]Country populations'!BG120)</f>
        <v>1204</v>
      </c>
      <c r="AC119" s="40">
        <f>IF([2]Setup!$B$21=[2]Setup!$V$19,'[2]Country populations'!AW120,'[2]Country populations'!BH120)</f>
        <v>1124</v>
      </c>
      <c r="AD119" s="40">
        <f>IF([2]Setup!$B$21=[2]Setup!$V$19,'[2]Country populations'!AX120,'[2]Country populations'!BI120)</f>
        <v>1048</v>
      </c>
      <c r="AE119" s="40">
        <f>IF([2]Setup!$B$21=[2]Setup!$V$19,'[2]Country populations'!AY120,'[2]Country populations'!BJ120)</f>
        <v>979</v>
      </c>
      <c r="AF119" s="40">
        <f>IF([2]Setup!$B$21=[2]Setup!$V$19,'[2]Country populations'!AZ120,'[2]Country populations'!BK120)</f>
        <v>913</v>
      </c>
      <c r="AG119" s="40">
        <f>IF([2]Setup!$B$21=[2]Setup!$V$19,'[2]Country populations'!BA120,'[2]Country populations'!BL120)</f>
        <v>849</v>
      </c>
      <c r="AH119" s="40">
        <f>IF([2]Setup!$B$21=[2]Setup!$V$19,'[2]Country populations'!BB120,'[2]Country populations'!BM120)</f>
        <v>790</v>
      </c>
      <c r="AI119" s="40">
        <f>IF([2]Setup!$B$21=[2]Setup!$V$19,'[2]Country populations'!BC120,'[2]Country populations'!BN120)</f>
        <v>736</v>
      </c>
      <c r="AJ119" s="40">
        <f>IF([2]Setup!$B$21=[2]Setup!$V$19,'[2]Country populations'!BD120,'[2]Country populations'!BO120)</f>
        <v>687</v>
      </c>
    </row>
    <row r="120" spans="1:36" x14ac:dyDescent="0.25">
      <c r="A120" t="str">
        <f>'[2]Country populations'!A121</f>
        <v>Micronesia</v>
      </c>
      <c r="B120" s="40">
        <f>IF([2]Setup!$B$19=[2]Setup!$T$19,'[2]Country populations'!B121,'[2]Country populations'!M121)</f>
        <v>0</v>
      </c>
      <c r="C120" s="40">
        <f>IF([2]Setup!$B$19=[2]Setup!$T$19,'[2]Country populations'!C121,'[2]Country populations'!N121)</f>
        <v>0</v>
      </c>
      <c r="D120" s="40">
        <f>IF([2]Setup!$B$19=[2]Setup!$T$19,'[2]Country populations'!D121,'[2]Country populations'!O121)</f>
        <v>0</v>
      </c>
      <c r="E120" s="40">
        <f>IF([2]Setup!$B$19=[2]Setup!$T$19,'[2]Country populations'!E121,'[2]Country populations'!P121)</f>
        <v>0</v>
      </c>
      <c r="F120" s="40">
        <f>IF([2]Setup!$B$19=[2]Setup!$T$19,'[2]Country populations'!F121,'[2]Country populations'!Q121)</f>
        <v>0</v>
      </c>
      <c r="G120" s="40">
        <f>IF([2]Setup!$B$19=[2]Setup!$T$19,'[2]Country populations'!G121,'[2]Country populations'!R121)</f>
        <v>0</v>
      </c>
      <c r="H120" s="40">
        <f>IF([2]Setup!$B$19=[2]Setup!$T$19,'[2]Country populations'!H121,'[2]Country populations'!S121)</f>
        <v>0</v>
      </c>
      <c r="I120" s="40">
        <f>IF([2]Setup!$B$19=[2]Setup!$T$19,'[2]Country populations'!I121,'[2]Country populations'!T121)</f>
        <v>0</v>
      </c>
      <c r="J120" s="40">
        <f>IF([2]Setup!$B$19=[2]Setup!$T$19,'[2]Country populations'!J121,'[2]Country populations'!U121)</f>
        <v>0</v>
      </c>
      <c r="K120" s="40">
        <f>IF([2]Setup!$B$19=[2]Setup!$T$19,'[2]Country populations'!K121,'[2]Country populations'!V121)</f>
        <v>0</v>
      </c>
      <c r="L120" s="40">
        <f>IF([2]Setup!$B$19=[2]Setup!$T$19,'[2]Country populations'!L121,'[2]Country populations'!W121)</f>
        <v>0</v>
      </c>
      <c r="M120" s="40" t="str">
        <f t="shared" si="4"/>
        <v>Micronesia</v>
      </c>
      <c r="N120" s="40">
        <f>IF([2]Setup!$B$20=[2]Setup!$U$19,'[2]Country populations'!X121,'[2]Country populations'!AI121)</f>
        <v>0</v>
      </c>
      <c r="O120" s="40">
        <f>IF([2]Setup!$B$20=[2]Setup!$U$19,'[2]Country populations'!Y121,'[2]Country populations'!AJ121)</f>
        <v>0</v>
      </c>
      <c r="P120" s="40">
        <f>IF([2]Setup!$B$20=[2]Setup!$U$19,'[2]Country populations'!Z121,'[2]Country populations'!AK121)</f>
        <v>0</v>
      </c>
      <c r="Q120" s="40">
        <f>IF([2]Setup!$B$20=[2]Setup!$U$19,'[2]Country populations'!AA121,'[2]Country populations'!AL121)</f>
        <v>0</v>
      </c>
      <c r="R120" s="40">
        <f>IF([2]Setup!$B$20=[2]Setup!$U$19,'[2]Country populations'!AB121,'[2]Country populations'!AM121)</f>
        <v>0</v>
      </c>
      <c r="S120" s="40">
        <f>IF([2]Setup!$B$20=[2]Setup!$U$19,'[2]Country populations'!AC121,'[2]Country populations'!AN121)</f>
        <v>0</v>
      </c>
      <c r="T120" s="40">
        <f>IF([2]Setup!$B$20=[2]Setup!$U$19,'[2]Country populations'!AD121,'[2]Country populations'!AO121)</f>
        <v>0</v>
      </c>
      <c r="U120" s="40">
        <f>IF([2]Setup!$B$20=[2]Setup!$U$19,'[2]Country populations'!AE121,'[2]Country populations'!AP121)</f>
        <v>0</v>
      </c>
      <c r="V120" s="40">
        <f>IF([2]Setup!$B$20=[2]Setup!$U$19,'[2]Country populations'!AF121,'[2]Country populations'!AQ121)</f>
        <v>0</v>
      </c>
      <c r="W120" s="40">
        <f>IF([2]Setup!$B$20=[2]Setup!$U$19,'[2]Country populations'!AG121,'[2]Country populations'!AR121)</f>
        <v>0</v>
      </c>
      <c r="X120" s="40">
        <f>IF([2]Setup!$B$20=[2]Setup!$U$19,'[2]Country populations'!AH121,'[2]Country populations'!AS121)</f>
        <v>0</v>
      </c>
      <c r="Y120" s="40" t="str">
        <f t="shared" si="5"/>
        <v>Micronesia</v>
      </c>
      <c r="Z120" s="40">
        <f>IF([2]Setup!$B$21=[2]Setup!$V$19,'[2]Country populations'!AT121,'[2]Country populations'!BE121)</f>
        <v>0</v>
      </c>
      <c r="AA120" s="40">
        <f>IF([2]Setup!$B$21=[2]Setup!$V$19,'[2]Country populations'!AU121,'[2]Country populations'!BF121)</f>
        <v>0</v>
      </c>
      <c r="AB120" s="40">
        <f>IF([2]Setup!$B$21=[2]Setup!$V$19,'[2]Country populations'!AV121,'[2]Country populations'!BG121)</f>
        <v>0</v>
      </c>
      <c r="AC120" s="40">
        <f>IF([2]Setup!$B$21=[2]Setup!$V$19,'[2]Country populations'!AW121,'[2]Country populations'!BH121)</f>
        <v>0</v>
      </c>
      <c r="AD120" s="40">
        <f>IF([2]Setup!$B$21=[2]Setup!$V$19,'[2]Country populations'!AX121,'[2]Country populations'!BI121)</f>
        <v>0</v>
      </c>
      <c r="AE120" s="40">
        <f>IF([2]Setup!$B$21=[2]Setup!$V$19,'[2]Country populations'!AY121,'[2]Country populations'!BJ121)</f>
        <v>0</v>
      </c>
      <c r="AF120" s="40">
        <f>IF([2]Setup!$B$21=[2]Setup!$V$19,'[2]Country populations'!AZ121,'[2]Country populations'!BK121)</f>
        <v>0</v>
      </c>
      <c r="AG120" s="40">
        <f>IF([2]Setup!$B$21=[2]Setup!$V$19,'[2]Country populations'!BA121,'[2]Country populations'!BL121)</f>
        <v>0</v>
      </c>
      <c r="AH120" s="40">
        <f>IF([2]Setup!$B$21=[2]Setup!$V$19,'[2]Country populations'!BB121,'[2]Country populations'!BM121)</f>
        <v>0</v>
      </c>
      <c r="AI120" s="40">
        <f>IF([2]Setup!$B$21=[2]Setup!$V$19,'[2]Country populations'!BC121,'[2]Country populations'!BN121)</f>
        <v>0</v>
      </c>
      <c r="AJ120" s="40">
        <f>IF([2]Setup!$B$21=[2]Setup!$V$19,'[2]Country populations'!BD121,'[2]Country populations'!BO121)</f>
        <v>0</v>
      </c>
    </row>
    <row r="121" spans="1:36" x14ac:dyDescent="0.25">
      <c r="A121" t="str">
        <f>'[2]Country populations'!A122</f>
        <v>Micronesia (Fed. States of)</v>
      </c>
      <c r="B121" s="40">
        <f>IF([2]Setup!$B$19=[2]Setup!$T$19,'[2]Country populations'!B122,'[2]Country populations'!M122)</f>
        <v>0</v>
      </c>
      <c r="C121" s="40">
        <f>IF([2]Setup!$B$19=[2]Setup!$T$19,'[2]Country populations'!C122,'[2]Country populations'!N122)</f>
        <v>0</v>
      </c>
      <c r="D121" s="40">
        <f>IF([2]Setup!$B$19=[2]Setup!$T$19,'[2]Country populations'!D122,'[2]Country populations'!O122)</f>
        <v>0</v>
      </c>
      <c r="E121" s="40">
        <f>IF([2]Setup!$B$19=[2]Setup!$T$19,'[2]Country populations'!E122,'[2]Country populations'!P122)</f>
        <v>0</v>
      </c>
      <c r="F121" s="40">
        <f>IF([2]Setup!$B$19=[2]Setup!$T$19,'[2]Country populations'!F122,'[2]Country populations'!Q122)</f>
        <v>0</v>
      </c>
      <c r="G121" s="40">
        <f>IF([2]Setup!$B$19=[2]Setup!$T$19,'[2]Country populations'!G122,'[2]Country populations'!R122)</f>
        <v>0</v>
      </c>
      <c r="H121" s="40">
        <f>IF([2]Setup!$B$19=[2]Setup!$T$19,'[2]Country populations'!H122,'[2]Country populations'!S122)</f>
        <v>0</v>
      </c>
      <c r="I121" s="40">
        <f>IF([2]Setup!$B$19=[2]Setup!$T$19,'[2]Country populations'!I122,'[2]Country populations'!T122)</f>
        <v>0</v>
      </c>
      <c r="J121" s="40">
        <f>IF([2]Setup!$B$19=[2]Setup!$T$19,'[2]Country populations'!J122,'[2]Country populations'!U122)</f>
        <v>0</v>
      </c>
      <c r="K121" s="40">
        <f>IF([2]Setup!$B$19=[2]Setup!$T$19,'[2]Country populations'!K122,'[2]Country populations'!V122)</f>
        <v>0</v>
      </c>
      <c r="L121" s="40">
        <f>IF([2]Setup!$B$19=[2]Setup!$T$19,'[2]Country populations'!L122,'[2]Country populations'!W122)</f>
        <v>0</v>
      </c>
      <c r="M121" s="40" t="str">
        <f t="shared" si="4"/>
        <v>Micronesia (Fed. States of)</v>
      </c>
      <c r="N121" s="40">
        <f>IF([2]Setup!$B$20=[2]Setup!$U$19,'[2]Country populations'!X122,'[2]Country populations'!AI122)</f>
        <v>0</v>
      </c>
      <c r="O121" s="40">
        <f>IF([2]Setup!$B$20=[2]Setup!$U$19,'[2]Country populations'!Y122,'[2]Country populations'!AJ122)</f>
        <v>0</v>
      </c>
      <c r="P121" s="40">
        <f>IF([2]Setup!$B$20=[2]Setup!$U$19,'[2]Country populations'!Z122,'[2]Country populations'!AK122)</f>
        <v>0</v>
      </c>
      <c r="Q121" s="40">
        <f>IF([2]Setup!$B$20=[2]Setup!$U$19,'[2]Country populations'!AA122,'[2]Country populations'!AL122)</f>
        <v>0</v>
      </c>
      <c r="R121" s="40">
        <f>IF([2]Setup!$B$20=[2]Setup!$U$19,'[2]Country populations'!AB122,'[2]Country populations'!AM122)</f>
        <v>0</v>
      </c>
      <c r="S121" s="40">
        <f>IF([2]Setup!$B$20=[2]Setup!$U$19,'[2]Country populations'!AC122,'[2]Country populations'!AN122)</f>
        <v>0</v>
      </c>
      <c r="T121" s="40">
        <f>IF([2]Setup!$B$20=[2]Setup!$U$19,'[2]Country populations'!AD122,'[2]Country populations'!AO122)</f>
        <v>0</v>
      </c>
      <c r="U121" s="40">
        <f>IF([2]Setup!$B$20=[2]Setup!$U$19,'[2]Country populations'!AE122,'[2]Country populations'!AP122)</f>
        <v>0</v>
      </c>
      <c r="V121" s="40">
        <f>IF([2]Setup!$B$20=[2]Setup!$U$19,'[2]Country populations'!AF122,'[2]Country populations'!AQ122)</f>
        <v>0</v>
      </c>
      <c r="W121" s="40">
        <f>IF([2]Setup!$B$20=[2]Setup!$U$19,'[2]Country populations'!AG122,'[2]Country populations'!AR122)</f>
        <v>0</v>
      </c>
      <c r="X121" s="40">
        <f>IF([2]Setup!$B$20=[2]Setup!$U$19,'[2]Country populations'!AH122,'[2]Country populations'!AS122)</f>
        <v>0</v>
      </c>
      <c r="Y121" s="40" t="str">
        <f t="shared" si="5"/>
        <v>Micronesia (Fed. States of)</v>
      </c>
      <c r="Z121" s="40">
        <f>IF([2]Setup!$B$21=[2]Setup!$V$19,'[2]Country populations'!AT122,'[2]Country populations'!BE122)</f>
        <v>0</v>
      </c>
      <c r="AA121" s="40">
        <f>IF([2]Setup!$B$21=[2]Setup!$V$19,'[2]Country populations'!AU122,'[2]Country populations'!BF122)</f>
        <v>0</v>
      </c>
      <c r="AB121" s="40">
        <f>IF([2]Setup!$B$21=[2]Setup!$V$19,'[2]Country populations'!AV122,'[2]Country populations'!BG122)</f>
        <v>0</v>
      </c>
      <c r="AC121" s="40">
        <f>IF([2]Setup!$B$21=[2]Setup!$V$19,'[2]Country populations'!AW122,'[2]Country populations'!BH122)</f>
        <v>0</v>
      </c>
      <c r="AD121" s="40">
        <f>IF([2]Setup!$B$21=[2]Setup!$V$19,'[2]Country populations'!AX122,'[2]Country populations'!BI122)</f>
        <v>0</v>
      </c>
      <c r="AE121" s="40">
        <f>IF([2]Setup!$B$21=[2]Setup!$V$19,'[2]Country populations'!AY122,'[2]Country populations'!BJ122)</f>
        <v>0</v>
      </c>
      <c r="AF121" s="40">
        <f>IF([2]Setup!$B$21=[2]Setup!$V$19,'[2]Country populations'!AZ122,'[2]Country populations'!BK122)</f>
        <v>0</v>
      </c>
      <c r="AG121" s="40">
        <f>IF([2]Setup!$B$21=[2]Setup!$V$19,'[2]Country populations'!BA122,'[2]Country populations'!BL122)</f>
        <v>0</v>
      </c>
      <c r="AH121" s="40">
        <f>IF([2]Setup!$B$21=[2]Setup!$V$19,'[2]Country populations'!BB122,'[2]Country populations'!BM122)</f>
        <v>0</v>
      </c>
      <c r="AI121" s="40">
        <f>IF([2]Setup!$B$21=[2]Setup!$V$19,'[2]Country populations'!BC122,'[2]Country populations'!BN122)</f>
        <v>0</v>
      </c>
      <c r="AJ121" s="40">
        <f>IF([2]Setup!$B$21=[2]Setup!$V$19,'[2]Country populations'!BD122,'[2]Country populations'!BO122)</f>
        <v>0</v>
      </c>
    </row>
    <row r="122" spans="1:36" x14ac:dyDescent="0.25">
      <c r="A122" t="str">
        <f>'[2]Country populations'!A123</f>
        <v>Mongolia</v>
      </c>
      <c r="B122" s="40">
        <f>IF([2]Setup!$B$19=[2]Setup!$T$19,'[2]Country populations'!B123,'[2]Country populations'!M123)</f>
        <v>1003</v>
      </c>
      <c r="C122" s="40">
        <f>IF([2]Setup!$B$19=[2]Setup!$T$19,'[2]Country populations'!C123,'[2]Country populations'!N123)</f>
        <v>1098</v>
      </c>
      <c r="D122" s="40">
        <f>IF([2]Setup!$B$19=[2]Setup!$T$19,'[2]Country populations'!D123,'[2]Country populations'!O123)</f>
        <v>1172</v>
      </c>
      <c r="E122" s="40">
        <f>IF([2]Setup!$B$19=[2]Setup!$T$19,'[2]Country populations'!E123,'[2]Country populations'!P123)</f>
        <v>1232</v>
      </c>
      <c r="F122" s="40">
        <f>IF([2]Setup!$B$19=[2]Setup!$T$19,'[2]Country populations'!F123,'[2]Country populations'!Q123)</f>
        <v>1282</v>
      </c>
      <c r="G122" s="40">
        <f>IF([2]Setup!$B$19=[2]Setup!$T$19,'[2]Country populations'!G123,'[2]Country populations'!R123)</f>
        <v>1325</v>
      </c>
      <c r="H122" s="40">
        <f>IF([2]Setup!$B$19=[2]Setup!$T$19,'[2]Country populations'!H123,'[2]Country populations'!S123)</f>
        <v>1362</v>
      </c>
      <c r="I122" s="40">
        <f>IF([2]Setup!$B$19=[2]Setup!$T$19,'[2]Country populations'!I123,'[2]Country populations'!T123)</f>
        <v>1394</v>
      </c>
      <c r="J122" s="40">
        <f>IF([2]Setup!$B$19=[2]Setup!$T$19,'[2]Country populations'!J123,'[2]Country populations'!U123)</f>
        <v>1420</v>
      </c>
      <c r="K122" s="40">
        <f>IF([2]Setup!$B$19=[2]Setup!$T$19,'[2]Country populations'!K123,'[2]Country populations'!V123)</f>
        <v>1441</v>
      </c>
      <c r="L122" s="40">
        <f>IF([2]Setup!$B$19=[2]Setup!$T$19,'[2]Country populations'!L123,'[2]Country populations'!W123)</f>
        <v>1458</v>
      </c>
      <c r="M122" s="40" t="str">
        <f t="shared" si="4"/>
        <v>Mongolia</v>
      </c>
      <c r="N122" s="40">
        <f>IF([2]Setup!$B$20=[2]Setup!$U$19,'[2]Country populations'!X123,'[2]Country populations'!AI123)</f>
        <v>5</v>
      </c>
      <c r="O122" s="40">
        <f>IF([2]Setup!$B$20=[2]Setup!$U$19,'[2]Country populations'!Y123,'[2]Country populations'!AJ123)</f>
        <v>5</v>
      </c>
      <c r="P122" s="40">
        <f>IF([2]Setup!$B$20=[2]Setup!$U$19,'[2]Country populations'!Z123,'[2]Country populations'!AK123)</f>
        <v>5</v>
      </c>
      <c r="Q122" s="40">
        <f>IF([2]Setup!$B$20=[2]Setup!$U$19,'[2]Country populations'!AA123,'[2]Country populations'!AL123)</f>
        <v>6</v>
      </c>
      <c r="R122" s="40">
        <f>IF([2]Setup!$B$20=[2]Setup!$U$19,'[2]Country populations'!AB123,'[2]Country populations'!AM123)</f>
        <v>6</v>
      </c>
      <c r="S122" s="40">
        <f>IF([2]Setup!$B$20=[2]Setup!$U$19,'[2]Country populations'!AC123,'[2]Country populations'!AN123)</f>
        <v>7</v>
      </c>
      <c r="T122" s="40">
        <f>IF([2]Setup!$B$20=[2]Setup!$U$19,'[2]Country populations'!AD123,'[2]Country populations'!AO123)</f>
        <v>7</v>
      </c>
      <c r="U122" s="40">
        <f>IF([2]Setup!$B$20=[2]Setup!$U$19,'[2]Country populations'!AE123,'[2]Country populations'!AP123)</f>
        <v>8</v>
      </c>
      <c r="V122" s="40">
        <f>IF([2]Setup!$B$20=[2]Setup!$U$19,'[2]Country populations'!AF123,'[2]Country populations'!AQ123)</f>
        <v>8</v>
      </c>
      <c r="W122" s="40">
        <f>IF([2]Setup!$B$20=[2]Setup!$U$19,'[2]Country populations'!AG123,'[2]Country populations'!AR123)</f>
        <v>8</v>
      </c>
      <c r="X122" s="40">
        <f>IF([2]Setup!$B$20=[2]Setup!$U$19,'[2]Country populations'!AH123,'[2]Country populations'!AS123)</f>
        <v>8</v>
      </c>
      <c r="Y122" s="40" t="str">
        <f t="shared" si="5"/>
        <v>Mongolia</v>
      </c>
      <c r="Z122" s="40">
        <f>IF([2]Setup!$B$21=[2]Setup!$V$19,'[2]Country populations'!AT123,'[2]Country populations'!BE123)</f>
        <v>5</v>
      </c>
      <c r="AA122" s="40">
        <f>IF([2]Setup!$B$21=[2]Setup!$V$19,'[2]Country populations'!AU123,'[2]Country populations'!BF123)</f>
        <v>5</v>
      </c>
      <c r="AB122" s="40">
        <f>IF([2]Setup!$B$21=[2]Setup!$V$19,'[2]Country populations'!AV123,'[2]Country populations'!BG123)</f>
        <v>5</v>
      </c>
      <c r="AC122" s="40">
        <f>IF([2]Setup!$B$21=[2]Setup!$V$19,'[2]Country populations'!AW123,'[2]Country populations'!BH123)</f>
        <v>5</v>
      </c>
      <c r="AD122" s="40">
        <f>IF([2]Setup!$B$21=[2]Setup!$V$19,'[2]Country populations'!AX123,'[2]Country populations'!BI123)</f>
        <v>5</v>
      </c>
      <c r="AE122" s="40">
        <f>IF([2]Setup!$B$21=[2]Setup!$V$19,'[2]Country populations'!AY123,'[2]Country populations'!BJ123)</f>
        <v>5</v>
      </c>
      <c r="AF122" s="40">
        <f>IF([2]Setup!$B$21=[2]Setup!$V$19,'[2]Country populations'!AZ123,'[2]Country populations'!BK123)</f>
        <v>5</v>
      </c>
      <c r="AG122" s="40">
        <f>IF([2]Setup!$B$21=[2]Setup!$V$19,'[2]Country populations'!BA123,'[2]Country populations'!BL123)</f>
        <v>5</v>
      </c>
      <c r="AH122" s="40">
        <f>IF([2]Setup!$B$21=[2]Setup!$V$19,'[2]Country populations'!BB123,'[2]Country populations'!BM123)</f>
        <v>4</v>
      </c>
      <c r="AI122" s="40">
        <f>IF([2]Setup!$B$21=[2]Setup!$V$19,'[2]Country populations'!BC123,'[2]Country populations'!BN123)</f>
        <v>4</v>
      </c>
      <c r="AJ122" s="40">
        <f>IF([2]Setup!$B$21=[2]Setup!$V$19,'[2]Country populations'!BD123,'[2]Country populations'!BO123)</f>
        <v>4</v>
      </c>
    </row>
    <row r="123" spans="1:36" x14ac:dyDescent="0.25">
      <c r="A123" t="str">
        <f>'[2]Country populations'!A124</f>
        <v>Montenegro</v>
      </c>
      <c r="B123" s="40">
        <f>IF([2]Setup!$B$19=[2]Setup!$T$19,'[2]Country populations'!B124,'[2]Country populations'!M124)</f>
        <v>212</v>
      </c>
      <c r="C123" s="40">
        <f>IF([2]Setup!$B$19=[2]Setup!$T$19,'[2]Country populations'!C124,'[2]Country populations'!N124)</f>
        <v>224</v>
      </c>
      <c r="D123" s="40">
        <f>IF([2]Setup!$B$19=[2]Setup!$T$19,'[2]Country populations'!D124,'[2]Country populations'!O124)</f>
        <v>232</v>
      </c>
      <c r="E123" s="40">
        <f>IF([2]Setup!$B$19=[2]Setup!$T$19,'[2]Country populations'!E124,'[2]Country populations'!P124)</f>
        <v>239</v>
      </c>
      <c r="F123" s="40">
        <f>IF([2]Setup!$B$19=[2]Setup!$T$19,'[2]Country populations'!F124,'[2]Country populations'!Q124)</f>
        <v>243</v>
      </c>
      <c r="G123" s="40">
        <f>IF([2]Setup!$B$19=[2]Setup!$T$19,'[2]Country populations'!G124,'[2]Country populations'!R124)</f>
        <v>247</v>
      </c>
      <c r="H123" s="40">
        <f>IF([2]Setup!$B$19=[2]Setup!$T$19,'[2]Country populations'!H124,'[2]Country populations'!S124)</f>
        <v>250</v>
      </c>
      <c r="I123" s="40">
        <f>IF([2]Setup!$B$19=[2]Setup!$T$19,'[2]Country populations'!I124,'[2]Country populations'!T124)</f>
        <v>252</v>
      </c>
      <c r="J123" s="40">
        <f>IF([2]Setup!$B$19=[2]Setup!$T$19,'[2]Country populations'!J124,'[2]Country populations'!U124)</f>
        <v>254</v>
      </c>
      <c r="K123" s="40">
        <f>IF([2]Setup!$B$19=[2]Setup!$T$19,'[2]Country populations'!K124,'[2]Country populations'!V124)</f>
        <v>255</v>
      </c>
      <c r="L123" s="40">
        <f>IF([2]Setup!$B$19=[2]Setup!$T$19,'[2]Country populations'!L124,'[2]Country populations'!W124)</f>
        <v>256</v>
      </c>
      <c r="M123" s="40" t="str">
        <f t="shared" si="4"/>
        <v>Montenegro</v>
      </c>
      <c r="N123" s="40">
        <f>IF([2]Setup!$B$20=[2]Setup!$U$19,'[2]Country populations'!X124,'[2]Country populations'!AI124)</f>
        <v>5</v>
      </c>
      <c r="O123" s="40">
        <f>IF([2]Setup!$B$20=[2]Setup!$U$19,'[2]Country populations'!Y124,'[2]Country populations'!AJ124)</f>
        <v>5</v>
      </c>
      <c r="P123" s="40">
        <f>IF([2]Setup!$B$20=[2]Setup!$U$19,'[2]Country populations'!Z124,'[2]Country populations'!AK124)</f>
        <v>5</v>
      </c>
      <c r="Q123" s="40">
        <f>IF([2]Setup!$B$20=[2]Setup!$U$19,'[2]Country populations'!AA124,'[2]Country populations'!AL124)</f>
        <v>5</v>
      </c>
      <c r="R123" s="40">
        <f>IF([2]Setup!$B$20=[2]Setup!$U$19,'[2]Country populations'!AB124,'[2]Country populations'!AM124)</f>
        <v>6</v>
      </c>
      <c r="S123" s="40">
        <f>IF([2]Setup!$B$20=[2]Setup!$U$19,'[2]Country populations'!AC124,'[2]Country populations'!AN124)</f>
        <v>6</v>
      </c>
      <c r="T123" s="40">
        <f>IF([2]Setup!$B$20=[2]Setup!$U$19,'[2]Country populations'!AD124,'[2]Country populations'!AO124)</f>
        <v>6</v>
      </c>
      <c r="U123" s="40">
        <f>IF([2]Setup!$B$20=[2]Setup!$U$19,'[2]Country populations'!AE124,'[2]Country populations'!AP124)</f>
        <v>6</v>
      </c>
      <c r="V123" s="40">
        <f>IF([2]Setup!$B$20=[2]Setup!$U$19,'[2]Country populations'!AF124,'[2]Country populations'!AQ124)</f>
        <v>6</v>
      </c>
      <c r="W123" s="40">
        <f>IF([2]Setup!$B$20=[2]Setup!$U$19,'[2]Country populations'!AG124,'[2]Country populations'!AR124)</f>
        <v>6</v>
      </c>
      <c r="X123" s="40">
        <f>IF([2]Setup!$B$20=[2]Setup!$U$19,'[2]Country populations'!AH124,'[2]Country populations'!AS124)</f>
        <v>6</v>
      </c>
      <c r="Y123" s="40" t="str">
        <f t="shared" si="5"/>
        <v>Montenegro</v>
      </c>
      <c r="Z123" s="40">
        <f>IF([2]Setup!$B$21=[2]Setup!$V$19,'[2]Country populations'!AT124,'[2]Country populations'!BE124)</f>
        <v>2</v>
      </c>
      <c r="AA123" s="40">
        <f>IF([2]Setup!$B$21=[2]Setup!$V$19,'[2]Country populations'!AU124,'[2]Country populations'!BF124)</f>
        <v>2</v>
      </c>
      <c r="AB123" s="40">
        <f>IF([2]Setup!$B$21=[2]Setup!$V$19,'[2]Country populations'!AV124,'[2]Country populations'!BG124)</f>
        <v>2</v>
      </c>
      <c r="AC123" s="40">
        <f>IF([2]Setup!$B$21=[2]Setup!$V$19,'[2]Country populations'!AW124,'[2]Country populations'!BH124)</f>
        <v>2</v>
      </c>
      <c r="AD123" s="40">
        <f>IF([2]Setup!$B$21=[2]Setup!$V$19,'[2]Country populations'!AX124,'[2]Country populations'!BI124)</f>
        <v>2</v>
      </c>
      <c r="AE123" s="40">
        <f>IF([2]Setup!$B$21=[2]Setup!$V$19,'[2]Country populations'!AY124,'[2]Country populations'!BJ124)</f>
        <v>2</v>
      </c>
      <c r="AF123" s="40">
        <f>IF([2]Setup!$B$21=[2]Setup!$V$19,'[2]Country populations'!AZ124,'[2]Country populations'!BK124)</f>
        <v>2</v>
      </c>
      <c r="AG123" s="40">
        <f>IF([2]Setup!$B$21=[2]Setup!$V$19,'[2]Country populations'!BA124,'[2]Country populations'!BL124)</f>
        <v>2</v>
      </c>
      <c r="AH123" s="40">
        <f>IF([2]Setup!$B$21=[2]Setup!$V$19,'[2]Country populations'!BB124,'[2]Country populations'!BM124)</f>
        <v>2</v>
      </c>
      <c r="AI123" s="40">
        <f>IF([2]Setup!$B$21=[2]Setup!$V$19,'[2]Country populations'!BC124,'[2]Country populations'!BN124)</f>
        <v>2</v>
      </c>
      <c r="AJ123" s="40">
        <f>IF([2]Setup!$B$21=[2]Setup!$V$19,'[2]Country populations'!BD124,'[2]Country populations'!BO124)</f>
        <v>2</v>
      </c>
    </row>
    <row r="124" spans="1:36" x14ac:dyDescent="0.25">
      <c r="A124" t="str">
        <f>'[2]Country populations'!A125</f>
        <v>Morocco</v>
      </c>
      <c r="B124" s="40">
        <f>IF([2]Setup!$B$19=[2]Setup!$T$19,'[2]Country populations'!B125,'[2]Country populations'!M125)</f>
        <v>36714</v>
      </c>
      <c r="C124" s="40">
        <f>IF([2]Setup!$B$19=[2]Setup!$T$19,'[2]Country populations'!C125,'[2]Country populations'!N125)</f>
        <v>37552</v>
      </c>
      <c r="D124" s="40">
        <f>IF([2]Setup!$B$19=[2]Setup!$T$19,'[2]Country populations'!D125,'[2]Country populations'!O125)</f>
        <v>38260</v>
      </c>
      <c r="E124" s="40">
        <f>IF([2]Setup!$B$19=[2]Setup!$T$19,'[2]Country populations'!E125,'[2]Country populations'!P125)</f>
        <v>38910</v>
      </c>
      <c r="F124" s="40">
        <f>IF([2]Setup!$B$19=[2]Setup!$T$19,'[2]Country populations'!F125,'[2]Country populations'!Q125)</f>
        <v>39500</v>
      </c>
      <c r="G124" s="40">
        <f>IF([2]Setup!$B$19=[2]Setup!$T$19,'[2]Country populations'!G125,'[2]Country populations'!R125)</f>
        <v>40050</v>
      </c>
      <c r="H124" s="40">
        <f>IF([2]Setup!$B$19=[2]Setup!$T$19,'[2]Country populations'!H125,'[2]Country populations'!S125)</f>
        <v>40571</v>
      </c>
      <c r="I124" s="40">
        <f>IF([2]Setup!$B$19=[2]Setup!$T$19,'[2]Country populations'!I125,'[2]Country populations'!T125)</f>
        <v>40987</v>
      </c>
      <c r="J124" s="40">
        <f>IF([2]Setup!$B$19=[2]Setup!$T$19,'[2]Country populations'!J125,'[2]Country populations'!U125)</f>
        <v>41312</v>
      </c>
      <c r="K124" s="40">
        <f>IF([2]Setup!$B$19=[2]Setup!$T$19,'[2]Country populations'!K125,'[2]Country populations'!V125)</f>
        <v>41563</v>
      </c>
      <c r="L124" s="40">
        <f>IF([2]Setup!$B$19=[2]Setup!$T$19,'[2]Country populations'!L125,'[2]Country populations'!W125)</f>
        <v>41762</v>
      </c>
      <c r="M124" s="40" t="str">
        <f t="shared" si="4"/>
        <v>Morocco</v>
      </c>
      <c r="N124" s="40">
        <f>IF([2]Setup!$B$20=[2]Setup!$U$19,'[2]Country populations'!X125,'[2]Country populations'!AI125)</f>
        <v>1168</v>
      </c>
      <c r="O124" s="40">
        <f>IF([2]Setup!$B$20=[2]Setup!$U$19,'[2]Country populations'!Y125,'[2]Country populations'!AJ125)</f>
        <v>1284</v>
      </c>
      <c r="P124" s="40">
        <f>IF([2]Setup!$B$20=[2]Setup!$U$19,'[2]Country populations'!Z125,'[2]Country populations'!AK125)</f>
        <v>1356</v>
      </c>
      <c r="Q124" s="40">
        <f>IF([2]Setup!$B$20=[2]Setup!$U$19,'[2]Country populations'!AA125,'[2]Country populations'!AL125)</f>
        <v>1413</v>
      </c>
      <c r="R124" s="40">
        <f>IF([2]Setup!$B$20=[2]Setup!$U$19,'[2]Country populations'!AB125,'[2]Country populations'!AM125)</f>
        <v>1451</v>
      </c>
      <c r="S124" s="40">
        <f>IF([2]Setup!$B$20=[2]Setup!$U$19,'[2]Country populations'!AC125,'[2]Country populations'!AN125)</f>
        <v>1475</v>
      </c>
      <c r="T124" s="40">
        <f>IF([2]Setup!$B$20=[2]Setup!$U$19,'[2]Country populations'!AD125,'[2]Country populations'!AO125)</f>
        <v>1482</v>
      </c>
      <c r="U124" s="40">
        <f>IF([2]Setup!$B$20=[2]Setup!$U$19,'[2]Country populations'!AE125,'[2]Country populations'!AP125)</f>
        <v>1477</v>
      </c>
      <c r="V124" s="40">
        <f>IF([2]Setup!$B$20=[2]Setup!$U$19,'[2]Country populations'!AF125,'[2]Country populations'!AQ125)</f>
        <v>1462</v>
      </c>
      <c r="W124" s="40">
        <f>IF([2]Setup!$B$20=[2]Setup!$U$19,'[2]Country populations'!AG125,'[2]Country populations'!AR125)</f>
        <v>1434</v>
      </c>
      <c r="X124" s="40">
        <f>IF([2]Setup!$B$20=[2]Setup!$U$19,'[2]Country populations'!AH125,'[2]Country populations'!AS125)</f>
        <v>1390</v>
      </c>
      <c r="Y124" s="40" t="str">
        <f t="shared" si="5"/>
        <v>Morocco</v>
      </c>
      <c r="Z124" s="40">
        <f>IF([2]Setup!$B$21=[2]Setup!$V$19,'[2]Country populations'!AT125,'[2]Country populations'!BE125)</f>
        <v>659</v>
      </c>
      <c r="AA124" s="40">
        <f>IF([2]Setup!$B$21=[2]Setup!$V$19,'[2]Country populations'!AU125,'[2]Country populations'!BF125)</f>
        <v>638</v>
      </c>
      <c r="AB124" s="40">
        <f>IF([2]Setup!$B$21=[2]Setup!$V$19,'[2]Country populations'!AV125,'[2]Country populations'!BG125)</f>
        <v>617</v>
      </c>
      <c r="AC124" s="40">
        <f>IF([2]Setup!$B$21=[2]Setup!$V$19,'[2]Country populations'!AW125,'[2]Country populations'!BH125)</f>
        <v>600</v>
      </c>
      <c r="AD124" s="40">
        <f>IF([2]Setup!$B$21=[2]Setup!$V$19,'[2]Country populations'!AX125,'[2]Country populations'!BI125)</f>
        <v>584</v>
      </c>
      <c r="AE124" s="40">
        <f>IF([2]Setup!$B$21=[2]Setup!$V$19,'[2]Country populations'!AY125,'[2]Country populations'!BJ125)</f>
        <v>569</v>
      </c>
      <c r="AF124" s="40">
        <f>IF([2]Setup!$B$21=[2]Setup!$V$19,'[2]Country populations'!AZ125,'[2]Country populations'!BK125)</f>
        <v>551</v>
      </c>
      <c r="AG124" s="40">
        <f>IF([2]Setup!$B$21=[2]Setup!$V$19,'[2]Country populations'!BA125,'[2]Country populations'!BL125)</f>
        <v>529</v>
      </c>
      <c r="AH124" s="40">
        <f>IF([2]Setup!$B$21=[2]Setup!$V$19,'[2]Country populations'!BB125,'[2]Country populations'!BM125)</f>
        <v>507</v>
      </c>
      <c r="AI124" s="40">
        <f>IF([2]Setup!$B$21=[2]Setup!$V$19,'[2]Country populations'!BC125,'[2]Country populations'!BN125)</f>
        <v>486</v>
      </c>
      <c r="AJ124" s="40">
        <f>IF([2]Setup!$B$21=[2]Setup!$V$19,'[2]Country populations'!BD125,'[2]Country populations'!BO125)</f>
        <v>464</v>
      </c>
    </row>
    <row r="125" spans="1:36" x14ac:dyDescent="0.25">
      <c r="A125" t="str">
        <f>'[2]Country populations'!A126</f>
        <v>Mozambique</v>
      </c>
      <c r="B125" s="40">
        <f>IF([2]Setup!$B$19=[2]Setup!$T$19,'[2]Country populations'!B126,'[2]Country populations'!M126)</f>
        <v>1540529</v>
      </c>
      <c r="C125" s="40">
        <f>IF([2]Setup!$B$19=[2]Setup!$T$19,'[2]Country populations'!C126,'[2]Country populations'!N126)</f>
        <v>1586821</v>
      </c>
      <c r="D125" s="40">
        <f>IF([2]Setup!$B$19=[2]Setup!$T$19,'[2]Country populations'!D126,'[2]Country populations'!O126)</f>
        <v>1635276</v>
      </c>
      <c r="E125" s="40">
        <f>IF([2]Setup!$B$19=[2]Setup!$T$19,'[2]Country populations'!E126,'[2]Country populations'!P126)</f>
        <v>1688341</v>
      </c>
      <c r="F125" s="40">
        <f>IF([2]Setup!$B$19=[2]Setup!$T$19,'[2]Country populations'!F126,'[2]Country populations'!Q126)</f>
        <v>1745421</v>
      </c>
      <c r="G125" s="40">
        <f>IF([2]Setup!$B$19=[2]Setup!$T$19,'[2]Country populations'!G126,'[2]Country populations'!R126)</f>
        <v>1802687</v>
      </c>
      <c r="H125" s="40">
        <f>IF([2]Setup!$B$19=[2]Setup!$T$19,'[2]Country populations'!H126,'[2]Country populations'!S126)</f>
        <v>1861671</v>
      </c>
      <c r="I125" s="40">
        <f>IF([2]Setup!$B$19=[2]Setup!$T$19,'[2]Country populations'!I126,'[2]Country populations'!T126)</f>
        <v>1921636</v>
      </c>
      <c r="J125" s="40">
        <f>IF([2]Setup!$B$19=[2]Setup!$T$19,'[2]Country populations'!J126,'[2]Country populations'!U126)</f>
        <v>1983208</v>
      </c>
      <c r="K125" s="40">
        <f>IF([2]Setup!$B$19=[2]Setup!$T$19,'[2]Country populations'!K126,'[2]Country populations'!V126)</f>
        <v>2046613</v>
      </c>
      <c r="L125" s="40">
        <f>IF([2]Setup!$B$19=[2]Setup!$T$19,'[2]Country populations'!L126,'[2]Country populations'!W126)</f>
        <v>2112818</v>
      </c>
      <c r="M125" s="40" t="str">
        <f t="shared" si="4"/>
        <v>Mozambique</v>
      </c>
      <c r="N125" s="40">
        <f>IF([2]Setup!$B$20=[2]Setup!$U$19,'[2]Country populations'!X126,'[2]Country populations'!AI126)</f>
        <v>191706</v>
      </c>
      <c r="O125" s="40">
        <f>IF([2]Setup!$B$20=[2]Setup!$U$19,'[2]Country populations'!Y126,'[2]Country populations'!AJ126)</f>
        <v>195460</v>
      </c>
      <c r="P125" s="40">
        <f>IF([2]Setup!$B$20=[2]Setup!$U$19,'[2]Country populations'!Z126,'[2]Country populations'!AK126)</f>
        <v>197123</v>
      </c>
      <c r="Q125" s="40">
        <f>IF([2]Setup!$B$20=[2]Setup!$U$19,'[2]Country populations'!AA126,'[2]Country populations'!AL126)</f>
        <v>197700</v>
      </c>
      <c r="R125" s="40">
        <f>IF([2]Setup!$B$20=[2]Setup!$U$19,'[2]Country populations'!AB126,'[2]Country populations'!AM126)</f>
        <v>197267</v>
      </c>
      <c r="S125" s="40">
        <f>IF([2]Setup!$B$20=[2]Setup!$U$19,'[2]Country populations'!AC126,'[2]Country populations'!AN126)</f>
        <v>201877</v>
      </c>
      <c r="T125" s="40">
        <f>IF([2]Setup!$B$20=[2]Setup!$U$19,'[2]Country populations'!AD126,'[2]Country populations'!AO126)</f>
        <v>209090</v>
      </c>
      <c r="U125" s="40">
        <f>IF([2]Setup!$B$20=[2]Setup!$U$19,'[2]Country populations'!AE126,'[2]Country populations'!AP126)</f>
        <v>215337</v>
      </c>
      <c r="V125" s="40">
        <f>IF([2]Setup!$B$20=[2]Setup!$U$19,'[2]Country populations'!AF126,'[2]Country populations'!AQ126)</f>
        <v>221776</v>
      </c>
      <c r="W125" s="40">
        <f>IF([2]Setup!$B$20=[2]Setup!$U$19,'[2]Country populations'!AG126,'[2]Country populations'!AR126)</f>
        <v>227117</v>
      </c>
      <c r="X125" s="40">
        <f>IF([2]Setup!$B$20=[2]Setup!$U$19,'[2]Country populations'!AH126,'[2]Country populations'!AS126)</f>
        <v>230735</v>
      </c>
      <c r="Y125" s="40" t="str">
        <f t="shared" si="5"/>
        <v>Mozambique</v>
      </c>
      <c r="Z125" s="40">
        <f>IF([2]Setup!$B$21=[2]Setup!$V$19,'[2]Country populations'!AT126,'[2]Country populations'!BE126)</f>
        <v>105762</v>
      </c>
      <c r="AA125" s="40">
        <f>IF([2]Setup!$B$21=[2]Setup!$V$19,'[2]Country populations'!AU126,'[2]Country populations'!BF126)</f>
        <v>105301</v>
      </c>
      <c r="AB125" s="40">
        <f>IF([2]Setup!$B$21=[2]Setup!$V$19,'[2]Country populations'!AV126,'[2]Country populations'!BG126)</f>
        <v>104564</v>
      </c>
      <c r="AC125" s="40">
        <f>IF([2]Setup!$B$21=[2]Setup!$V$19,'[2]Country populations'!AW126,'[2]Country populations'!BH126)</f>
        <v>103842</v>
      </c>
      <c r="AD125" s="40">
        <f>IF([2]Setup!$B$21=[2]Setup!$V$19,'[2]Country populations'!AX126,'[2]Country populations'!BI126)</f>
        <v>103139</v>
      </c>
      <c r="AE125" s="40">
        <f>IF([2]Setup!$B$21=[2]Setup!$V$19,'[2]Country populations'!AY126,'[2]Country populations'!BJ126)</f>
        <v>102334</v>
      </c>
      <c r="AF125" s="40">
        <f>IF([2]Setup!$B$21=[2]Setup!$V$19,'[2]Country populations'!AZ126,'[2]Country populations'!BK126)</f>
        <v>101635</v>
      </c>
      <c r="AG125" s="40">
        <f>IF([2]Setup!$B$21=[2]Setup!$V$19,'[2]Country populations'!BA126,'[2]Country populations'!BL126)</f>
        <v>101114</v>
      </c>
      <c r="AH125" s="40">
        <f>IF([2]Setup!$B$21=[2]Setup!$V$19,'[2]Country populations'!BB126,'[2]Country populations'!BM126)</f>
        <v>100807</v>
      </c>
      <c r="AI125" s="40">
        <f>IF([2]Setup!$B$21=[2]Setup!$V$19,'[2]Country populations'!BC126,'[2]Country populations'!BN126)</f>
        <v>100734</v>
      </c>
      <c r="AJ125" s="40">
        <f>IF([2]Setup!$B$21=[2]Setup!$V$19,'[2]Country populations'!BD126,'[2]Country populations'!BO126)</f>
        <v>100915</v>
      </c>
    </row>
    <row r="126" spans="1:36" x14ac:dyDescent="0.25">
      <c r="A126" t="str">
        <f>'[2]Country populations'!A127</f>
        <v>Myanmar</v>
      </c>
      <c r="B126" s="40">
        <f>IF([2]Setup!$B$19=[2]Setup!$T$19,'[2]Country populations'!B127,'[2]Country populations'!M127)</f>
        <v>163488</v>
      </c>
      <c r="C126" s="40">
        <f>IF([2]Setup!$B$19=[2]Setup!$T$19,'[2]Country populations'!C127,'[2]Country populations'!N127)</f>
        <v>160312</v>
      </c>
      <c r="D126" s="40">
        <f>IF([2]Setup!$B$19=[2]Setup!$T$19,'[2]Country populations'!D127,'[2]Country populations'!O127)</f>
        <v>156878</v>
      </c>
      <c r="E126" s="40">
        <f>IF([2]Setup!$B$19=[2]Setup!$T$19,'[2]Country populations'!E127,'[2]Country populations'!P127)</f>
        <v>153019</v>
      </c>
      <c r="F126" s="40">
        <f>IF([2]Setup!$B$19=[2]Setup!$T$19,'[2]Country populations'!F127,'[2]Country populations'!Q127)</f>
        <v>148914</v>
      </c>
      <c r="G126" s="40">
        <f>IF([2]Setup!$B$19=[2]Setup!$T$19,'[2]Country populations'!G127,'[2]Country populations'!R127)</f>
        <v>144669</v>
      </c>
      <c r="H126" s="40">
        <f>IF([2]Setup!$B$19=[2]Setup!$T$19,'[2]Country populations'!H127,'[2]Country populations'!S127)</f>
        <v>140539</v>
      </c>
      <c r="I126" s="40">
        <f>IF([2]Setup!$B$19=[2]Setup!$T$19,'[2]Country populations'!I127,'[2]Country populations'!T127)</f>
        <v>136559</v>
      </c>
      <c r="J126" s="40">
        <f>IF([2]Setup!$B$19=[2]Setup!$T$19,'[2]Country populations'!J127,'[2]Country populations'!U127)</f>
        <v>132749</v>
      </c>
      <c r="K126" s="40">
        <f>IF([2]Setup!$B$19=[2]Setup!$T$19,'[2]Country populations'!K127,'[2]Country populations'!V127)</f>
        <v>129113</v>
      </c>
      <c r="L126" s="40">
        <f>IF([2]Setup!$B$19=[2]Setup!$T$19,'[2]Country populations'!L127,'[2]Country populations'!W127)</f>
        <v>125676</v>
      </c>
      <c r="M126" s="40" t="str">
        <f t="shared" si="4"/>
        <v>Myanmar</v>
      </c>
      <c r="N126" s="40">
        <f>IF([2]Setup!$B$20=[2]Setup!$U$19,'[2]Country populations'!X127,'[2]Country populations'!AI127)</f>
        <v>11069</v>
      </c>
      <c r="O126" s="40">
        <f>IF([2]Setup!$B$20=[2]Setup!$U$19,'[2]Country populations'!Y127,'[2]Country populations'!AJ127)</f>
        <v>10986</v>
      </c>
      <c r="P126" s="40">
        <f>IF([2]Setup!$B$20=[2]Setup!$U$19,'[2]Country populations'!Z127,'[2]Country populations'!AK127)</f>
        <v>11043</v>
      </c>
      <c r="Q126" s="40">
        <f>IF([2]Setup!$B$20=[2]Setup!$U$19,'[2]Country populations'!AA127,'[2]Country populations'!AL127)</f>
        <v>10982</v>
      </c>
      <c r="R126" s="40">
        <f>IF([2]Setup!$B$20=[2]Setup!$U$19,'[2]Country populations'!AB127,'[2]Country populations'!AM127)</f>
        <v>10865</v>
      </c>
      <c r="S126" s="40">
        <f>IF([2]Setup!$B$20=[2]Setup!$U$19,'[2]Country populations'!AC127,'[2]Country populations'!AN127)</f>
        <v>10640</v>
      </c>
      <c r="T126" s="40">
        <f>IF([2]Setup!$B$20=[2]Setup!$U$19,'[2]Country populations'!AD127,'[2]Country populations'!AO127)</f>
        <v>10314</v>
      </c>
      <c r="U126" s="40">
        <f>IF([2]Setup!$B$20=[2]Setup!$U$19,'[2]Country populations'!AE127,'[2]Country populations'!AP127)</f>
        <v>9905</v>
      </c>
      <c r="V126" s="40">
        <f>IF([2]Setup!$B$20=[2]Setup!$U$19,'[2]Country populations'!AF127,'[2]Country populations'!AQ127)</f>
        <v>9430</v>
      </c>
      <c r="W126" s="40">
        <f>IF([2]Setup!$B$20=[2]Setup!$U$19,'[2]Country populations'!AG127,'[2]Country populations'!AR127)</f>
        <v>8911</v>
      </c>
      <c r="X126" s="40">
        <f>IF([2]Setup!$B$20=[2]Setup!$U$19,'[2]Country populations'!AH127,'[2]Country populations'!AS127)</f>
        <v>8348</v>
      </c>
      <c r="Y126" s="40" t="str">
        <f t="shared" si="5"/>
        <v>Myanmar</v>
      </c>
      <c r="Z126" s="40">
        <f>IF([2]Setup!$B$21=[2]Setup!$V$19,'[2]Country populations'!AT127,'[2]Country populations'!BE127)</f>
        <v>3081</v>
      </c>
      <c r="AA126" s="40">
        <f>IF([2]Setup!$B$21=[2]Setup!$V$19,'[2]Country populations'!AU127,'[2]Country populations'!BF127)</f>
        <v>2908</v>
      </c>
      <c r="AB126" s="40">
        <f>IF([2]Setup!$B$21=[2]Setup!$V$19,'[2]Country populations'!AV127,'[2]Country populations'!BG127)</f>
        <v>2721</v>
      </c>
      <c r="AC126" s="40">
        <f>IF([2]Setup!$B$21=[2]Setup!$V$19,'[2]Country populations'!AW127,'[2]Country populations'!BH127)</f>
        <v>2520</v>
      </c>
      <c r="AD126" s="40">
        <f>IF([2]Setup!$B$21=[2]Setup!$V$19,'[2]Country populations'!AX127,'[2]Country populations'!BI127)</f>
        <v>2315</v>
      </c>
      <c r="AE126" s="40">
        <f>IF([2]Setup!$B$21=[2]Setup!$V$19,'[2]Country populations'!AY127,'[2]Country populations'!BJ127)</f>
        <v>2113</v>
      </c>
      <c r="AF126" s="40">
        <f>IF([2]Setup!$B$21=[2]Setup!$V$19,'[2]Country populations'!AZ127,'[2]Country populations'!BK127)</f>
        <v>1920</v>
      </c>
      <c r="AG126" s="40">
        <f>IF([2]Setup!$B$21=[2]Setup!$V$19,'[2]Country populations'!BA127,'[2]Country populations'!BL127)</f>
        <v>1742</v>
      </c>
      <c r="AH126" s="40">
        <f>IF([2]Setup!$B$21=[2]Setup!$V$19,'[2]Country populations'!BB127,'[2]Country populations'!BM127)</f>
        <v>1582</v>
      </c>
      <c r="AI126" s="40">
        <f>IF([2]Setup!$B$21=[2]Setup!$V$19,'[2]Country populations'!BC127,'[2]Country populations'!BN127)</f>
        <v>1441</v>
      </c>
      <c r="AJ126" s="40">
        <f>IF([2]Setup!$B$21=[2]Setup!$V$19,'[2]Country populations'!BD127,'[2]Country populations'!BO127)</f>
        <v>1319</v>
      </c>
    </row>
    <row r="127" spans="1:36" x14ac:dyDescent="0.25">
      <c r="A127" t="str">
        <f>'[2]Country populations'!A128</f>
        <v>Namibia</v>
      </c>
      <c r="B127" s="40">
        <f>IF([2]Setup!$B$19=[2]Setup!$T$19,'[2]Country populations'!B128,'[2]Country populations'!M128)</f>
        <v>227915</v>
      </c>
      <c r="C127" s="40">
        <f>IF([2]Setup!$B$19=[2]Setup!$T$19,'[2]Country populations'!C128,'[2]Country populations'!N128)</f>
        <v>229211</v>
      </c>
      <c r="D127" s="40">
        <f>IF([2]Setup!$B$19=[2]Setup!$T$19,'[2]Country populations'!D128,'[2]Country populations'!O128)</f>
        <v>230553</v>
      </c>
      <c r="E127" s="40">
        <f>IF([2]Setup!$B$19=[2]Setup!$T$19,'[2]Country populations'!E128,'[2]Country populations'!P128)</f>
        <v>232033</v>
      </c>
      <c r="F127" s="40">
        <f>IF([2]Setup!$B$19=[2]Setup!$T$19,'[2]Country populations'!F128,'[2]Country populations'!Q128)</f>
        <v>233690</v>
      </c>
      <c r="G127" s="40">
        <f>IF([2]Setup!$B$19=[2]Setup!$T$19,'[2]Country populations'!G128,'[2]Country populations'!R128)</f>
        <v>235493</v>
      </c>
      <c r="H127" s="40">
        <f>IF([2]Setup!$B$19=[2]Setup!$T$19,'[2]Country populations'!H128,'[2]Country populations'!S128)</f>
        <v>237544</v>
      </c>
      <c r="I127" s="40">
        <f>IF([2]Setup!$B$19=[2]Setup!$T$19,'[2]Country populations'!I128,'[2]Country populations'!T128)</f>
        <v>239556</v>
      </c>
      <c r="J127" s="40">
        <f>IF([2]Setup!$B$19=[2]Setup!$T$19,'[2]Country populations'!J128,'[2]Country populations'!U128)</f>
        <v>241399</v>
      </c>
      <c r="K127" s="40">
        <f>IF([2]Setup!$B$19=[2]Setup!$T$19,'[2]Country populations'!K128,'[2]Country populations'!V128)</f>
        <v>242959</v>
      </c>
      <c r="L127" s="40">
        <f>IF([2]Setup!$B$19=[2]Setup!$T$19,'[2]Country populations'!L128,'[2]Country populations'!W128)</f>
        <v>244277</v>
      </c>
      <c r="M127" s="40" t="str">
        <f t="shared" si="4"/>
        <v>Namibia</v>
      </c>
      <c r="N127" s="40">
        <f>IF([2]Setup!$B$20=[2]Setup!$U$19,'[2]Country populations'!X128,'[2]Country populations'!AI128)</f>
        <v>20871</v>
      </c>
      <c r="O127" s="40">
        <f>IF([2]Setup!$B$20=[2]Setup!$U$19,'[2]Country populations'!Y128,'[2]Country populations'!AJ128)</f>
        <v>19596</v>
      </c>
      <c r="P127" s="40">
        <f>IF([2]Setup!$B$20=[2]Setup!$U$19,'[2]Country populations'!Z128,'[2]Country populations'!AK128)</f>
        <v>18185</v>
      </c>
      <c r="Q127" s="40">
        <f>IF([2]Setup!$B$20=[2]Setup!$U$19,'[2]Country populations'!AA128,'[2]Country populations'!AL128)</f>
        <v>16607</v>
      </c>
      <c r="R127" s="40">
        <f>IF([2]Setup!$B$20=[2]Setup!$U$19,'[2]Country populations'!AB128,'[2]Country populations'!AM128)</f>
        <v>14847</v>
      </c>
      <c r="S127" s="40">
        <f>IF([2]Setup!$B$20=[2]Setup!$U$19,'[2]Country populations'!AC128,'[2]Country populations'!AN128)</f>
        <v>15147</v>
      </c>
      <c r="T127" s="40">
        <f>IF([2]Setup!$B$20=[2]Setup!$U$19,'[2]Country populations'!AD128,'[2]Country populations'!AO128)</f>
        <v>16362</v>
      </c>
      <c r="U127" s="40">
        <f>IF([2]Setup!$B$20=[2]Setup!$U$19,'[2]Country populations'!AE128,'[2]Country populations'!AP128)</f>
        <v>17699</v>
      </c>
      <c r="V127" s="40">
        <f>IF([2]Setup!$B$20=[2]Setup!$U$19,'[2]Country populations'!AF128,'[2]Country populations'!AQ128)</f>
        <v>19205</v>
      </c>
      <c r="W127" s="40">
        <f>IF([2]Setup!$B$20=[2]Setup!$U$19,'[2]Country populations'!AG128,'[2]Country populations'!AR128)</f>
        <v>20747</v>
      </c>
      <c r="X127" s="40">
        <f>IF([2]Setup!$B$20=[2]Setup!$U$19,'[2]Country populations'!AH128,'[2]Country populations'!AS128)</f>
        <v>22379</v>
      </c>
      <c r="Y127" s="40" t="str">
        <f t="shared" si="5"/>
        <v>Namibia</v>
      </c>
      <c r="Z127" s="40">
        <f>IF([2]Setup!$B$21=[2]Setup!$V$19,'[2]Country populations'!AT128,'[2]Country populations'!BE128)</f>
        <v>9912</v>
      </c>
      <c r="AA127" s="40">
        <f>IF([2]Setup!$B$21=[2]Setup!$V$19,'[2]Country populations'!AU128,'[2]Country populations'!BF128)</f>
        <v>9501</v>
      </c>
      <c r="AB127" s="40">
        <f>IF([2]Setup!$B$21=[2]Setup!$V$19,'[2]Country populations'!AV128,'[2]Country populations'!BG128)</f>
        <v>9032</v>
      </c>
      <c r="AC127" s="40">
        <f>IF([2]Setup!$B$21=[2]Setup!$V$19,'[2]Country populations'!AW128,'[2]Country populations'!BH128)</f>
        <v>8554</v>
      </c>
      <c r="AD127" s="40">
        <f>IF([2]Setup!$B$21=[2]Setup!$V$19,'[2]Country populations'!AX128,'[2]Country populations'!BI128)</f>
        <v>8067</v>
      </c>
      <c r="AE127" s="40">
        <f>IF([2]Setup!$B$21=[2]Setup!$V$19,'[2]Country populations'!AY128,'[2]Country populations'!BJ128)</f>
        <v>7583</v>
      </c>
      <c r="AF127" s="40">
        <f>IF([2]Setup!$B$21=[2]Setup!$V$19,'[2]Country populations'!AZ128,'[2]Country populations'!BK128)</f>
        <v>7120</v>
      </c>
      <c r="AG127" s="40">
        <f>IF([2]Setup!$B$21=[2]Setup!$V$19,'[2]Country populations'!BA128,'[2]Country populations'!BL128)</f>
        <v>6689</v>
      </c>
      <c r="AH127" s="40">
        <f>IF([2]Setup!$B$21=[2]Setup!$V$19,'[2]Country populations'!BB128,'[2]Country populations'!BM128)</f>
        <v>6292</v>
      </c>
      <c r="AI127" s="40">
        <f>IF([2]Setup!$B$21=[2]Setup!$V$19,'[2]Country populations'!BC128,'[2]Country populations'!BN128)</f>
        <v>5930</v>
      </c>
      <c r="AJ127" s="40">
        <f>IF([2]Setup!$B$21=[2]Setup!$V$19,'[2]Country populations'!BD128,'[2]Country populations'!BO128)</f>
        <v>5607</v>
      </c>
    </row>
    <row r="128" spans="1:36" x14ac:dyDescent="0.25">
      <c r="A128" t="str">
        <f>'[2]Country populations'!A129</f>
        <v>Nepal</v>
      </c>
      <c r="B128" s="40">
        <f>IF([2]Setup!$B$19=[2]Setup!$T$19,'[2]Country populations'!B129,'[2]Country populations'!M129)</f>
        <v>43968</v>
      </c>
      <c r="C128" s="40">
        <f>IF([2]Setup!$B$19=[2]Setup!$T$19,'[2]Country populations'!C129,'[2]Country populations'!N129)</f>
        <v>43798</v>
      </c>
      <c r="D128" s="40">
        <f>IF([2]Setup!$B$19=[2]Setup!$T$19,'[2]Country populations'!D129,'[2]Country populations'!O129)</f>
        <v>43627</v>
      </c>
      <c r="E128" s="40">
        <f>IF([2]Setup!$B$19=[2]Setup!$T$19,'[2]Country populations'!E129,'[2]Country populations'!P129)</f>
        <v>43356</v>
      </c>
      <c r="F128" s="40">
        <f>IF([2]Setup!$B$19=[2]Setup!$T$19,'[2]Country populations'!F129,'[2]Country populations'!Q129)</f>
        <v>42981</v>
      </c>
      <c r="G128" s="40">
        <f>IF([2]Setup!$B$19=[2]Setup!$T$19,'[2]Country populations'!G129,'[2]Country populations'!R129)</f>
        <v>42507</v>
      </c>
      <c r="H128" s="40">
        <f>IF([2]Setup!$B$19=[2]Setup!$T$19,'[2]Country populations'!H129,'[2]Country populations'!S129)</f>
        <v>41985</v>
      </c>
      <c r="I128" s="40">
        <f>IF([2]Setup!$B$19=[2]Setup!$T$19,'[2]Country populations'!I129,'[2]Country populations'!T129)</f>
        <v>41437</v>
      </c>
      <c r="J128" s="40">
        <f>IF([2]Setup!$B$19=[2]Setup!$T$19,'[2]Country populations'!J129,'[2]Country populations'!U129)</f>
        <v>40889</v>
      </c>
      <c r="K128" s="40">
        <f>IF([2]Setup!$B$19=[2]Setup!$T$19,'[2]Country populations'!K129,'[2]Country populations'!V129)</f>
        <v>40345</v>
      </c>
      <c r="L128" s="40">
        <f>IF([2]Setup!$B$19=[2]Setup!$T$19,'[2]Country populations'!L129,'[2]Country populations'!W129)</f>
        <v>39814</v>
      </c>
      <c r="M128" s="40" t="str">
        <f t="shared" si="4"/>
        <v>Nepal</v>
      </c>
      <c r="N128" s="40">
        <f>IF([2]Setup!$B$20=[2]Setup!$U$19,'[2]Country populations'!X129,'[2]Country populations'!AI129)</f>
        <v>1739</v>
      </c>
      <c r="O128" s="40">
        <f>IF([2]Setup!$B$20=[2]Setup!$U$19,'[2]Country populations'!Y129,'[2]Country populations'!AJ129)</f>
        <v>1633</v>
      </c>
      <c r="P128" s="40">
        <f>IF([2]Setup!$B$20=[2]Setup!$U$19,'[2]Country populations'!Z129,'[2]Country populations'!AK129)</f>
        <v>1537</v>
      </c>
      <c r="Q128" s="40">
        <f>IF([2]Setup!$B$20=[2]Setup!$U$19,'[2]Country populations'!AA129,'[2]Country populations'!AL129)</f>
        <v>1455</v>
      </c>
      <c r="R128" s="40">
        <f>IF([2]Setup!$B$20=[2]Setup!$U$19,'[2]Country populations'!AB129,'[2]Country populations'!AM129)</f>
        <v>1379</v>
      </c>
      <c r="S128" s="40">
        <f>IF([2]Setup!$B$20=[2]Setup!$U$19,'[2]Country populations'!AC129,'[2]Country populations'!AN129)</f>
        <v>1322</v>
      </c>
      <c r="T128" s="40">
        <f>IF([2]Setup!$B$20=[2]Setup!$U$19,'[2]Country populations'!AD129,'[2]Country populations'!AO129)</f>
        <v>1266</v>
      </c>
      <c r="U128" s="40">
        <f>IF([2]Setup!$B$20=[2]Setup!$U$19,'[2]Country populations'!AE129,'[2]Country populations'!AP129)</f>
        <v>1198</v>
      </c>
      <c r="V128" s="40">
        <f>IF([2]Setup!$B$20=[2]Setup!$U$19,'[2]Country populations'!AF129,'[2]Country populations'!AQ129)</f>
        <v>1126</v>
      </c>
      <c r="W128" s="40">
        <f>IF([2]Setup!$B$20=[2]Setup!$U$19,'[2]Country populations'!AG129,'[2]Country populations'!AR129)</f>
        <v>1055</v>
      </c>
      <c r="X128" s="40">
        <f>IF([2]Setup!$B$20=[2]Setup!$U$19,'[2]Country populations'!AH129,'[2]Country populations'!AS129)</f>
        <v>989</v>
      </c>
      <c r="Y128" s="40" t="str">
        <f t="shared" si="5"/>
        <v>Nepal</v>
      </c>
      <c r="Z128" s="40">
        <f>IF([2]Setup!$B$21=[2]Setup!$V$19,'[2]Country populations'!AT129,'[2]Country populations'!BE129)</f>
        <v>315</v>
      </c>
      <c r="AA128" s="40">
        <f>IF([2]Setup!$B$21=[2]Setup!$V$19,'[2]Country populations'!AU129,'[2]Country populations'!BF129)</f>
        <v>290</v>
      </c>
      <c r="AB128" s="40">
        <f>IF([2]Setup!$B$21=[2]Setup!$V$19,'[2]Country populations'!AV129,'[2]Country populations'!BG129)</f>
        <v>266</v>
      </c>
      <c r="AC128" s="40">
        <f>IF([2]Setup!$B$21=[2]Setup!$V$19,'[2]Country populations'!AW129,'[2]Country populations'!BH129)</f>
        <v>243</v>
      </c>
      <c r="AD128" s="40">
        <f>IF([2]Setup!$B$21=[2]Setup!$V$19,'[2]Country populations'!AX129,'[2]Country populations'!BI129)</f>
        <v>221</v>
      </c>
      <c r="AE128" s="40">
        <f>IF([2]Setup!$B$21=[2]Setup!$V$19,'[2]Country populations'!AY129,'[2]Country populations'!BJ129)</f>
        <v>201</v>
      </c>
      <c r="AF128" s="40">
        <f>IF([2]Setup!$B$21=[2]Setup!$V$19,'[2]Country populations'!AZ129,'[2]Country populations'!BK129)</f>
        <v>183</v>
      </c>
      <c r="AG128" s="40">
        <f>IF([2]Setup!$B$21=[2]Setup!$V$19,'[2]Country populations'!BA129,'[2]Country populations'!BL129)</f>
        <v>165</v>
      </c>
      <c r="AH128" s="40">
        <f>IF([2]Setup!$B$21=[2]Setup!$V$19,'[2]Country populations'!BB129,'[2]Country populations'!BM129)</f>
        <v>149</v>
      </c>
      <c r="AI128" s="40">
        <f>IF([2]Setup!$B$21=[2]Setup!$V$19,'[2]Country populations'!BC129,'[2]Country populations'!BN129)</f>
        <v>134</v>
      </c>
      <c r="AJ128" s="40">
        <f>IF([2]Setup!$B$21=[2]Setup!$V$19,'[2]Country populations'!BD129,'[2]Country populations'!BO129)</f>
        <v>121</v>
      </c>
    </row>
    <row r="129" spans="1:36" x14ac:dyDescent="0.25">
      <c r="A129" t="str">
        <f>'[2]Country populations'!A130</f>
        <v>Netherlands</v>
      </c>
      <c r="B129" s="40">
        <f>IF([2]Setup!$B$19=[2]Setup!$T$19,'[2]Country populations'!B130,'[2]Country populations'!M130)</f>
        <v>23197</v>
      </c>
      <c r="C129" s="40">
        <f>IF([2]Setup!$B$19=[2]Setup!$T$19,'[2]Country populations'!C130,'[2]Country populations'!N130)</f>
        <v>23783</v>
      </c>
      <c r="D129" s="40">
        <f>IF([2]Setup!$B$19=[2]Setup!$T$19,'[2]Country populations'!D130,'[2]Country populations'!O130)</f>
        <v>24355</v>
      </c>
      <c r="E129" s="40">
        <f>IF([2]Setup!$B$19=[2]Setup!$T$19,'[2]Country populations'!E130,'[2]Country populations'!P130)</f>
        <v>24911</v>
      </c>
      <c r="F129" s="40">
        <f>IF([2]Setup!$B$19=[2]Setup!$T$19,'[2]Country populations'!F130,'[2]Country populations'!Q130)</f>
        <v>25450</v>
      </c>
      <c r="G129" s="40">
        <f>IF([2]Setup!$B$19=[2]Setup!$T$19,'[2]Country populations'!G130,'[2]Country populations'!R130)</f>
        <v>25971</v>
      </c>
      <c r="H129" s="40">
        <f>IF([2]Setup!$B$19=[2]Setup!$T$19,'[2]Country populations'!H130,'[2]Country populations'!S130)</f>
        <v>26472</v>
      </c>
      <c r="I129" s="40">
        <f>IF([2]Setup!$B$19=[2]Setup!$T$19,'[2]Country populations'!I130,'[2]Country populations'!T130)</f>
        <v>26954</v>
      </c>
      <c r="J129" s="40">
        <f>IF([2]Setup!$B$19=[2]Setup!$T$19,'[2]Country populations'!J130,'[2]Country populations'!U130)</f>
        <v>27418</v>
      </c>
      <c r="K129" s="40">
        <f>IF([2]Setup!$B$19=[2]Setup!$T$19,'[2]Country populations'!K130,'[2]Country populations'!V130)</f>
        <v>27860</v>
      </c>
      <c r="L129" s="40">
        <f>IF([2]Setup!$B$19=[2]Setup!$T$19,'[2]Country populations'!L130,'[2]Country populations'!W130)</f>
        <v>28285</v>
      </c>
      <c r="M129" s="40" t="str">
        <f t="shared" si="4"/>
        <v>Netherlands</v>
      </c>
      <c r="N129" s="40">
        <f>IF([2]Setup!$B$20=[2]Setup!$U$19,'[2]Country populations'!X130,'[2]Country populations'!AI130)</f>
        <v>198</v>
      </c>
      <c r="O129" s="40">
        <f>IF([2]Setup!$B$20=[2]Setup!$U$19,'[2]Country populations'!Y130,'[2]Country populations'!AJ130)</f>
        <v>197</v>
      </c>
      <c r="P129" s="40">
        <f>IF([2]Setup!$B$20=[2]Setup!$U$19,'[2]Country populations'!Z130,'[2]Country populations'!AK130)</f>
        <v>195</v>
      </c>
      <c r="Q129" s="40">
        <f>IF([2]Setup!$B$20=[2]Setup!$U$19,'[2]Country populations'!AA130,'[2]Country populations'!AL130)</f>
        <v>194</v>
      </c>
      <c r="R129" s="40">
        <f>IF([2]Setup!$B$20=[2]Setup!$U$19,'[2]Country populations'!AB130,'[2]Country populations'!AM130)</f>
        <v>193</v>
      </c>
      <c r="S129" s="40">
        <f>IF([2]Setup!$B$20=[2]Setup!$U$19,'[2]Country populations'!AC130,'[2]Country populations'!AN130)</f>
        <v>193</v>
      </c>
      <c r="T129" s="40">
        <f>IF([2]Setup!$B$20=[2]Setup!$U$19,'[2]Country populations'!AD130,'[2]Country populations'!AO130)</f>
        <v>193</v>
      </c>
      <c r="U129" s="40">
        <f>IF([2]Setup!$B$20=[2]Setup!$U$19,'[2]Country populations'!AE130,'[2]Country populations'!AP130)</f>
        <v>193</v>
      </c>
      <c r="V129" s="40">
        <f>IF([2]Setup!$B$20=[2]Setup!$U$19,'[2]Country populations'!AF130,'[2]Country populations'!AQ130)</f>
        <v>194</v>
      </c>
      <c r="W129" s="40">
        <f>IF([2]Setup!$B$20=[2]Setup!$U$19,'[2]Country populations'!AG130,'[2]Country populations'!AR130)</f>
        <v>198</v>
      </c>
      <c r="X129" s="40">
        <f>IF([2]Setup!$B$20=[2]Setup!$U$19,'[2]Country populations'!AH130,'[2]Country populations'!AS130)</f>
        <v>199</v>
      </c>
      <c r="Y129" s="40" t="str">
        <f t="shared" si="5"/>
        <v>Netherlands</v>
      </c>
      <c r="Z129" s="40">
        <f>IF([2]Setup!$B$21=[2]Setup!$V$19,'[2]Country populations'!AT130,'[2]Country populations'!BE130)</f>
        <v>76</v>
      </c>
      <c r="AA129" s="40">
        <f>IF([2]Setup!$B$21=[2]Setup!$V$19,'[2]Country populations'!AU130,'[2]Country populations'!BF130)</f>
        <v>76</v>
      </c>
      <c r="AB129" s="40">
        <f>IF([2]Setup!$B$21=[2]Setup!$V$19,'[2]Country populations'!AV130,'[2]Country populations'!BG130)</f>
        <v>77</v>
      </c>
      <c r="AC129" s="40">
        <f>IF([2]Setup!$B$21=[2]Setup!$V$19,'[2]Country populations'!AW130,'[2]Country populations'!BH130)</f>
        <v>77</v>
      </c>
      <c r="AD129" s="40">
        <f>IF([2]Setup!$B$21=[2]Setup!$V$19,'[2]Country populations'!AX130,'[2]Country populations'!BI130)</f>
        <v>78</v>
      </c>
      <c r="AE129" s="40">
        <f>IF([2]Setup!$B$21=[2]Setup!$V$19,'[2]Country populations'!AY130,'[2]Country populations'!BJ130)</f>
        <v>79</v>
      </c>
      <c r="AF129" s="40">
        <f>IF([2]Setup!$B$21=[2]Setup!$V$19,'[2]Country populations'!AZ130,'[2]Country populations'!BK130)</f>
        <v>80</v>
      </c>
      <c r="AG129" s="40">
        <f>IF([2]Setup!$B$21=[2]Setup!$V$19,'[2]Country populations'!BA130,'[2]Country populations'!BL130)</f>
        <v>81</v>
      </c>
      <c r="AH129" s="40">
        <f>IF([2]Setup!$B$21=[2]Setup!$V$19,'[2]Country populations'!BB130,'[2]Country populations'!BM130)</f>
        <v>81</v>
      </c>
      <c r="AI129" s="40">
        <f>IF([2]Setup!$B$21=[2]Setup!$V$19,'[2]Country populations'!BC130,'[2]Country populations'!BN130)</f>
        <v>82</v>
      </c>
      <c r="AJ129" s="40">
        <f>IF([2]Setup!$B$21=[2]Setup!$V$19,'[2]Country populations'!BD130,'[2]Country populations'!BO130)</f>
        <v>83</v>
      </c>
    </row>
    <row r="130" spans="1:36" x14ac:dyDescent="0.25">
      <c r="A130" t="str">
        <f>'[2]Country populations'!A131</f>
        <v>New Caledonia</v>
      </c>
      <c r="B130" s="40">
        <f>IF([2]Setup!$B$19=[2]Setup!$T$19,'[2]Country populations'!B131,'[2]Country populations'!M131)</f>
        <v>0</v>
      </c>
      <c r="C130" s="40">
        <f>IF([2]Setup!$B$19=[2]Setup!$T$19,'[2]Country populations'!C131,'[2]Country populations'!N131)</f>
        <v>0</v>
      </c>
      <c r="D130" s="40">
        <f>IF([2]Setup!$B$19=[2]Setup!$T$19,'[2]Country populations'!D131,'[2]Country populations'!O131)</f>
        <v>0</v>
      </c>
      <c r="E130" s="40">
        <f>IF([2]Setup!$B$19=[2]Setup!$T$19,'[2]Country populations'!E131,'[2]Country populations'!P131)</f>
        <v>0</v>
      </c>
      <c r="F130" s="40">
        <f>IF([2]Setup!$B$19=[2]Setup!$T$19,'[2]Country populations'!F131,'[2]Country populations'!Q131)</f>
        <v>0</v>
      </c>
      <c r="G130" s="40">
        <f>IF([2]Setup!$B$19=[2]Setup!$T$19,'[2]Country populations'!G131,'[2]Country populations'!R131)</f>
        <v>0</v>
      </c>
      <c r="H130" s="40">
        <f>IF([2]Setup!$B$19=[2]Setup!$T$19,'[2]Country populations'!H131,'[2]Country populations'!S131)</f>
        <v>0</v>
      </c>
      <c r="I130" s="40">
        <f>IF([2]Setup!$B$19=[2]Setup!$T$19,'[2]Country populations'!I131,'[2]Country populations'!T131)</f>
        <v>0</v>
      </c>
      <c r="J130" s="40">
        <f>IF([2]Setup!$B$19=[2]Setup!$T$19,'[2]Country populations'!J131,'[2]Country populations'!U131)</f>
        <v>0</v>
      </c>
      <c r="K130" s="40">
        <f>IF([2]Setup!$B$19=[2]Setup!$T$19,'[2]Country populations'!K131,'[2]Country populations'!V131)</f>
        <v>0</v>
      </c>
      <c r="L130" s="40">
        <f>IF([2]Setup!$B$19=[2]Setup!$T$19,'[2]Country populations'!L131,'[2]Country populations'!W131)</f>
        <v>0</v>
      </c>
      <c r="M130" s="40" t="str">
        <f t="shared" si="4"/>
        <v>New Caledonia</v>
      </c>
      <c r="N130" s="40">
        <f>IF([2]Setup!$B$20=[2]Setup!$U$19,'[2]Country populations'!X131,'[2]Country populations'!AI131)</f>
        <v>0</v>
      </c>
      <c r="O130" s="40">
        <f>IF([2]Setup!$B$20=[2]Setup!$U$19,'[2]Country populations'!Y131,'[2]Country populations'!AJ131)</f>
        <v>0</v>
      </c>
      <c r="P130" s="40">
        <f>IF([2]Setup!$B$20=[2]Setup!$U$19,'[2]Country populations'!Z131,'[2]Country populations'!AK131)</f>
        <v>0</v>
      </c>
      <c r="Q130" s="40">
        <f>IF([2]Setup!$B$20=[2]Setup!$U$19,'[2]Country populations'!AA131,'[2]Country populations'!AL131)</f>
        <v>0</v>
      </c>
      <c r="R130" s="40">
        <f>IF([2]Setup!$B$20=[2]Setup!$U$19,'[2]Country populations'!AB131,'[2]Country populations'!AM131)</f>
        <v>0</v>
      </c>
      <c r="S130" s="40">
        <f>IF([2]Setup!$B$20=[2]Setup!$U$19,'[2]Country populations'!AC131,'[2]Country populations'!AN131)</f>
        <v>0</v>
      </c>
      <c r="T130" s="40">
        <f>IF([2]Setup!$B$20=[2]Setup!$U$19,'[2]Country populations'!AD131,'[2]Country populations'!AO131)</f>
        <v>0</v>
      </c>
      <c r="U130" s="40">
        <f>IF([2]Setup!$B$20=[2]Setup!$U$19,'[2]Country populations'!AE131,'[2]Country populations'!AP131)</f>
        <v>0</v>
      </c>
      <c r="V130" s="40">
        <f>IF([2]Setup!$B$20=[2]Setup!$U$19,'[2]Country populations'!AF131,'[2]Country populations'!AQ131)</f>
        <v>0</v>
      </c>
      <c r="W130" s="40">
        <f>IF([2]Setup!$B$20=[2]Setup!$U$19,'[2]Country populations'!AG131,'[2]Country populations'!AR131)</f>
        <v>0</v>
      </c>
      <c r="X130" s="40">
        <f>IF([2]Setup!$B$20=[2]Setup!$U$19,'[2]Country populations'!AH131,'[2]Country populations'!AS131)</f>
        <v>0</v>
      </c>
      <c r="Y130" s="40" t="str">
        <f t="shared" si="5"/>
        <v>New Caledonia</v>
      </c>
      <c r="Z130" s="40">
        <f>IF([2]Setup!$B$21=[2]Setup!$V$19,'[2]Country populations'!AT131,'[2]Country populations'!BE131)</f>
        <v>0</v>
      </c>
      <c r="AA130" s="40">
        <f>IF([2]Setup!$B$21=[2]Setup!$V$19,'[2]Country populations'!AU131,'[2]Country populations'!BF131)</f>
        <v>0</v>
      </c>
      <c r="AB130" s="40">
        <f>IF([2]Setup!$B$21=[2]Setup!$V$19,'[2]Country populations'!AV131,'[2]Country populations'!BG131)</f>
        <v>0</v>
      </c>
      <c r="AC130" s="40">
        <f>IF([2]Setup!$B$21=[2]Setup!$V$19,'[2]Country populations'!AW131,'[2]Country populations'!BH131)</f>
        <v>0</v>
      </c>
      <c r="AD130" s="40">
        <f>IF([2]Setup!$B$21=[2]Setup!$V$19,'[2]Country populations'!AX131,'[2]Country populations'!BI131)</f>
        <v>0</v>
      </c>
      <c r="AE130" s="40">
        <f>IF([2]Setup!$B$21=[2]Setup!$V$19,'[2]Country populations'!AY131,'[2]Country populations'!BJ131)</f>
        <v>0</v>
      </c>
      <c r="AF130" s="40">
        <f>IF([2]Setup!$B$21=[2]Setup!$V$19,'[2]Country populations'!AZ131,'[2]Country populations'!BK131)</f>
        <v>0</v>
      </c>
      <c r="AG130" s="40">
        <f>IF([2]Setup!$B$21=[2]Setup!$V$19,'[2]Country populations'!BA131,'[2]Country populations'!BL131)</f>
        <v>0</v>
      </c>
      <c r="AH130" s="40">
        <f>IF([2]Setup!$B$21=[2]Setup!$V$19,'[2]Country populations'!BB131,'[2]Country populations'!BM131)</f>
        <v>0</v>
      </c>
      <c r="AI130" s="40">
        <f>IF([2]Setup!$B$21=[2]Setup!$V$19,'[2]Country populations'!BC131,'[2]Country populations'!BN131)</f>
        <v>0</v>
      </c>
      <c r="AJ130" s="40">
        <f>IF([2]Setup!$B$21=[2]Setup!$V$19,'[2]Country populations'!BD131,'[2]Country populations'!BO131)</f>
        <v>0</v>
      </c>
    </row>
    <row r="131" spans="1:36" x14ac:dyDescent="0.25">
      <c r="A131" t="str">
        <f>'[2]Country populations'!A132</f>
        <v>New Zealand</v>
      </c>
      <c r="B131" s="40">
        <f>IF([2]Setup!$B$19=[2]Setup!$T$19,'[2]Country populations'!B132,'[2]Country populations'!M132)</f>
        <v>2893</v>
      </c>
      <c r="C131" s="40">
        <f>IF([2]Setup!$B$19=[2]Setup!$T$19,'[2]Country populations'!C132,'[2]Country populations'!N132)</f>
        <v>3018</v>
      </c>
      <c r="D131" s="40">
        <f>IF([2]Setup!$B$19=[2]Setup!$T$19,'[2]Country populations'!D132,'[2]Country populations'!O132)</f>
        <v>3142</v>
      </c>
      <c r="E131" s="40">
        <f>IF([2]Setup!$B$19=[2]Setup!$T$19,'[2]Country populations'!E132,'[2]Country populations'!P132)</f>
        <v>3266</v>
      </c>
      <c r="F131" s="40">
        <f>IF([2]Setup!$B$19=[2]Setup!$T$19,'[2]Country populations'!F132,'[2]Country populations'!Q132)</f>
        <v>3389</v>
      </c>
      <c r="G131" s="40">
        <f>IF([2]Setup!$B$19=[2]Setup!$T$19,'[2]Country populations'!G132,'[2]Country populations'!R132)</f>
        <v>3511</v>
      </c>
      <c r="H131" s="40">
        <f>IF([2]Setup!$B$19=[2]Setup!$T$19,'[2]Country populations'!H132,'[2]Country populations'!S132)</f>
        <v>3633</v>
      </c>
      <c r="I131" s="40">
        <f>IF([2]Setup!$B$19=[2]Setup!$T$19,'[2]Country populations'!I132,'[2]Country populations'!T132)</f>
        <v>3754</v>
      </c>
      <c r="J131" s="40">
        <f>IF([2]Setup!$B$19=[2]Setup!$T$19,'[2]Country populations'!J132,'[2]Country populations'!U132)</f>
        <v>3875</v>
      </c>
      <c r="K131" s="40">
        <f>IF([2]Setup!$B$19=[2]Setup!$T$19,'[2]Country populations'!K132,'[2]Country populations'!V132)</f>
        <v>3996</v>
      </c>
      <c r="L131" s="40">
        <f>IF([2]Setup!$B$19=[2]Setup!$T$19,'[2]Country populations'!L132,'[2]Country populations'!W132)</f>
        <v>4117</v>
      </c>
      <c r="M131" s="40" t="str">
        <f t="shared" si="4"/>
        <v>New Zealand</v>
      </c>
      <c r="N131" s="40">
        <f>IF([2]Setup!$B$20=[2]Setup!$U$19,'[2]Country populations'!X132,'[2]Country populations'!AI132)</f>
        <v>25</v>
      </c>
      <c r="O131" s="40">
        <f>IF([2]Setup!$B$20=[2]Setup!$U$19,'[2]Country populations'!Y132,'[2]Country populations'!AJ132)</f>
        <v>29</v>
      </c>
      <c r="P131" s="40">
        <f>IF([2]Setup!$B$20=[2]Setup!$U$19,'[2]Country populations'!Z132,'[2]Country populations'!AK132)</f>
        <v>31</v>
      </c>
      <c r="Q131" s="40">
        <f>IF([2]Setup!$B$20=[2]Setup!$U$19,'[2]Country populations'!AA132,'[2]Country populations'!AL132)</f>
        <v>34</v>
      </c>
      <c r="R131" s="40">
        <f>IF([2]Setup!$B$20=[2]Setup!$U$19,'[2]Country populations'!AB132,'[2]Country populations'!AM132)</f>
        <v>37</v>
      </c>
      <c r="S131" s="40">
        <f>IF([2]Setup!$B$20=[2]Setup!$U$19,'[2]Country populations'!AC132,'[2]Country populations'!AN132)</f>
        <v>48</v>
      </c>
      <c r="T131" s="40">
        <f>IF([2]Setup!$B$20=[2]Setup!$U$19,'[2]Country populations'!AD132,'[2]Country populations'!AO132)</f>
        <v>64</v>
      </c>
      <c r="U131" s="40">
        <f>IF([2]Setup!$B$20=[2]Setup!$U$19,'[2]Country populations'!AE132,'[2]Country populations'!AP132)</f>
        <v>79</v>
      </c>
      <c r="V131" s="40">
        <f>IF([2]Setup!$B$20=[2]Setup!$U$19,'[2]Country populations'!AF132,'[2]Country populations'!AQ132)</f>
        <v>95</v>
      </c>
      <c r="W131" s="40">
        <f>IF([2]Setup!$B$20=[2]Setup!$U$19,'[2]Country populations'!AG132,'[2]Country populations'!AR132)</f>
        <v>111</v>
      </c>
      <c r="X131" s="40">
        <f>IF([2]Setup!$B$20=[2]Setup!$U$19,'[2]Country populations'!AH132,'[2]Country populations'!AS132)</f>
        <v>124</v>
      </c>
      <c r="Y131" s="40" t="str">
        <f t="shared" si="5"/>
        <v>New Zealand</v>
      </c>
      <c r="Z131" s="40">
        <f>IF([2]Setup!$B$21=[2]Setup!$V$19,'[2]Country populations'!AT132,'[2]Country populations'!BE132)</f>
        <v>20</v>
      </c>
      <c r="AA131" s="40">
        <f>IF([2]Setup!$B$21=[2]Setup!$V$19,'[2]Country populations'!AU132,'[2]Country populations'!BF132)</f>
        <v>21</v>
      </c>
      <c r="AB131" s="40">
        <f>IF([2]Setup!$B$21=[2]Setup!$V$19,'[2]Country populations'!AV132,'[2]Country populations'!BG132)</f>
        <v>22</v>
      </c>
      <c r="AC131" s="40">
        <f>IF([2]Setup!$B$21=[2]Setup!$V$19,'[2]Country populations'!AW132,'[2]Country populations'!BH132)</f>
        <v>22</v>
      </c>
      <c r="AD131" s="40">
        <f>IF([2]Setup!$B$21=[2]Setup!$V$19,'[2]Country populations'!AX132,'[2]Country populations'!BI132)</f>
        <v>23</v>
      </c>
      <c r="AE131" s="40">
        <f>IF([2]Setup!$B$21=[2]Setup!$V$19,'[2]Country populations'!AY132,'[2]Country populations'!BJ132)</f>
        <v>24</v>
      </c>
      <c r="AF131" s="40">
        <f>IF([2]Setup!$B$21=[2]Setup!$V$19,'[2]Country populations'!AZ132,'[2]Country populations'!BK132)</f>
        <v>24</v>
      </c>
      <c r="AG131" s="40">
        <f>IF([2]Setup!$B$21=[2]Setup!$V$19,'[2]Country populations'!BA132,'[2]Country populations'!BL132)</f>
        <v>25</v>
      </c>
      <c r="AH131" s="40">
        <f>IF([2]Setup!$B$21=[2]Setup!$V$19,'[2]Country populations'!BB132,'[2]Country populations'!BM132)</f>
        <v>25</v>
      </c>
      <c r="AI131" s="40">
        <f>IF([2]Setup!$B$21=[2]Setup!$V$19,'[2]Country populations'!BC132,'[2]Country populations'!BN132)</f>
        <v>25</v>
      </c>
      <c r="AJ131" s="40">
        <f>IF([2]Setup!$B$21=[2]Setup!$V$19,'[2]Country populations'!BD132,'[2]Country populations'!BO132)</f>
        <v>26</v>
      </c>
    </row>
    <row r="132" spans="1:36" x14ac:dyDescent="0.25">
      <c r="A132" t="str">
        <f>'[2]Country populations'!A133</f>
        <v>Nicaragua</v>
      </c>
      <c r="B132" s="40">
        <f>IF([2]Setup!$B$19=[2]Setup!$T$19,'[2]Country populations'!B133,'[2]Country populations'!M133)</f>
        <v>8830</v>
      </c>
      <c r="C132" s="40">
        <f>IF([2]Setup!$B$19=[2]Setup!$T$19,'[2]Country populations'!C133,'[2]Country populations'!N133)</f>
        <v>9456</v>
      </c>
      <c r="D132" s="40">
        <f>IF([2]Setup!$B$19=[2]Setup!$T$19,'[2]Country populations'!D133,'[2]Country populations'!O133)</f>
        <v>10173</v>
      </c>
      <c r="E132" s="40">
        <f>IF([2]Setup!$B$19=[2]Setup!$T$19,'[2]Country populations'!E133,'[2]Country populations'!P133)</f>
        <v>10991</v>
      </c>
      <c r="F132" s="40">
        <f>IF([2]Setup!$B$19=[2]Setup!$T$19,'[2]Country populations'!F133,'[2]Country populations'!Q133)</f>
        <v>11921</v>
      </c>
      <c r="G132" s="40">
        <f>IF([2]Setup!$B$19=[2]Setup!$T$19,'[2]Country populations'!G133,'[2]Country populations'!R133)</f>
        <v>12971</v>
      </c>
      <c r="H132" s="40">
        <f>IF([2]Setup!$B$19=[2]Setup!$T$19,'[2]Country populations'!H133,'[2]Country populations'!S133)</f>
        <v>14004</v>
      </c>
      <c r="I132" s="40">
        <f>IF([2]Setup!$B$19=[2]Setup!$T$19,'[2]Country populations'!I133,'[2]Country populations'!T133)</f>
        <v>15016</v>
      </c>
      <c r="J132" s="40">
        <f>IF([2]Setup!$B$19=[2]Setup!$T$19,'[2]Country populations'!J133,'[2]Country populations'!U133)</f>
        <v>16002</v>
      </c>
      <c r="K132" s="40">
        <f>IF([2]Setup!$B$19=[2]Setup!$T$19,'[2]Country populations'!K133,'[2]Country populations'!V133)</f>
        <v>16954</v>
      </c>
      <c r="L132" s="40">
        <f>IF([2]Setup!$B$19=[2]Setup!$T$19,'[2]Country populations'!L133,'[2]Country populations'!W133)</f>
        <v>17877</v>
      </c>
      <c r="M132" s="40" t="str">
        <f t="shared" ref="M132:M195" si="6">A132</f>
        <v>Nicaragua</v>
      </c>
      <c r="N132" s="40">
        <f>IF([2]Setup!$B$20=[2]Setup!$U$19,'[2]Country populations'!X133,'[2]Country populations'!AI133)</f>
        <v>265</v>
      </c>
      <c r="O132" s="40">
        <f>IF([2]Setup!$B$20=[2]Setup!$U$19,'[2]Country populations'!Y133,'[2]Country populations'!AJ133)</f>
        <v>303</v>
      </c>
      <c r="P132" s="40">
        <f>IF([2]Setup!$B$20=[2]Setup!$U$19,'[2]Country populations'!Z133,'[2]Country populations'!AK133)</f>
        <v>339</v>
      </c>
      <c r="Q132" s="40">
        <f>IF([2]Setup!$B$20=[2]Setup!$U$19,'[2]Country populations'!AA133,'[2]Country populations'!AL133)</f>
        <v>377</v>
      </c>
      <c r="R132" s="40">
        <f>IF([2]Setup!$B$20=[2]Setup!$U$19,'[2]Country populations'!AB133,'[2]Country populations'!AM133)</f>
        <v>413</v>
      </c>
      <c r="S132" s="40">
        <f>IF([2]Setup!$B$20=[2]Setup!$U$19,'[2]Country populations'!AC133,'[2]Country populations'!AN133)</f>
        <v>454</v>
      </c>
      <c r="T132" s="40">
        <f>IF([2]Setup!$B$20=[2]Setup!$U$19,'[2]Country populations'!AD133,'[2]Country populations'!AO133)</f>
        <v>496</v>
      </c>
      <c r="U132" s="40">
        <f>IF([2]Setup!$B$20=[2]Setup!$U$19,'[2]Country populations'!AE133,'[2]Country populations'!AP133)</f>
        <v>537</v>
      </c>
      <c r="V132" s="40">
        <f>IF([2]Setup!$B$20=[2]Setup!$U$19,'[2]Country populations'!AF133,'[2]Country populations'!AQ133)</f>
        <v>580</v>
      </c>
      <c r="W132" s="40">
        <f>IF([2]Setup!$B$20=[2]Setup!$U$19,'[2]Country populations'!AG133,'[2]Country populations'!AR133)</f>
        <v>629</v>
      </c>
      <c r="X132" s="40">
        <f>IF([2]Setup!$B$20=[2]Setup!$U$19,'[2]Country populations'!AH133,'[2]Country populations'!AS133)</f>
        <v>678</v>
      </c>
      <c r="Y132" s="40" t="str">
        <f t="shared" ref="Y132:Y195" si="7">M132</f>
        <v>Nicaragua</v>
      </c>
      <c r="Z132" s="40">
        <f>IF([2]Setup!$B$21=[2]Setup!$V$19,'[2]Country populations'!AT133,'[2]Country populations'!BE133)</f>
        <v>129</v>
      </c>
      <c r="AA132" s="40">
        <f>IF([2]Setup!$B$21=[2]Setup!$V$19,'[2]Country populations'!AU133,'[2]Country populations'!BF133)</f>
        <v>133</v>
      </c>
      <c r="AB132" s="40">
        <f>IF([2]Setup!$B$21=[2]Setup!$V$19,'[2]Country populations'!AV133,'[2]Country populations'!BG133)</f>
        <v>139</v>
      </c>
      <c r="AC132" s="40">
        <f>IF([2]Setup!$B$21=[2]Setup!$V$19,'[2]Country populations'!AW133,'[2]Country populations'!BH133)</f>
        <v>146</v>
      </c>
      <c r="AD132" s="40">
        <f>IF([2]Setup!$B$21=[2]Setup!$V$19,'[2]Country populations'!AX133,'[2]Country populations'!BI133)</f>
        <v>154</v>
      </c>
      <c r="AE132" s="40">
        <f>IF([2]Setup!$B$21=[2]Setup!$V$19,'[2]Country populations'!AY133,'[2]Country populations'!BJ133)</f>
        <v>164</v>
      </c>
      <c r="AF132" s="40">
        <f>IF([2]Setup!$B$21=[2]Setup!$V$19,'[2]Country populations'!AZ133,'[2]Country populations'!BK133)</f>
        <v>173</v>
      </c>
      <c r="AG132" s="40">
        <f>IF([2]Setup!$B$21=[2]Setup!$V$19,'[2]Country populations'!BA133,'[2]Country populations'!BL133)</f>
        <v>182</v>
      </c>
      <c r="AH132" s="40">
        <f>IF([2]Setup!$B$21=[2]Setup!$V$19,'[2]Country populations'!BB133,'[2]Country populations'!BM133)</f>
        <v>189</v>
      </c>
      <c r="AI132" s="40">
        <f>IF([2]Setup!$B$21=[2]Setup!$V$19,'[2]Country populations'!BC133,'[2]Country populations'!BN133)</f>
        <v>195</v>
      </c>
      <c r="AJ132" s="40">
        <f>IF([2]Setup!$B$21=[2]Setup!$V$19,'[2]Country populations'!BD133,'[2]Country populations'!BO133)</f>
        <v>201</v>
      </c>
    </row>
    <row r="133" spans="1:36" x14ac:dyDescent="0.25">
      <c r="A133" t="str">
        <f>'[2]Country populations'!A134</f>
        <v>Niger</v>
      </c>
      <c r="B133" s="40">
        <f>IF([2]Setup!$B$19=[2]Setup!$T$19,'[2]Country populations'!B134,'[2]Country populations'!M134)</f>
        <v>33227</v>
      </c>
      <c r="C133" s="40">
        <f>IF([2]Setup!$B$19=[2]Setup!$T$19,'[2]Country populations'!C134,'[2]Country populations'!N134)</f>
        <v>31371</v>
      </c>
      <c r="D133" s="40">
        <f>IF([2]Setup!$B$19=[2]Setup!$T$19,'[2]Country populations'!D134,'[2]Country populations'!O134)</f>
        <v>29554</v>
      </c>
      <c r="E133" s="40">
        <f>IF([2]Setup!$B$19=[2]Setup!$T$19,'[2]Country populations'!E134,'[2]Country populations'!P134)</f>
        <v>27831</v>
      </c>
      <c r="F133" s="40">
        <f>IF([2]Setup!$B$19=[2]Setup!$T$19,'[2]Country populations'!F134,'[2]Country populations'!Q134)</f>
        <v>26230</v>
      </c>
      <c r="G133" s="40">
        <f>IF([2]Setup!$B$19=[2]Setup!$T$19,'[2]Country populations'!G134,'[2]Country populations'!R134)</f>
        <v>24773</v>
      </c>
      <c r="H133" s="40">
        <f>IF([2]Setup!$B$19=[2]Setup!$T$19,'[2]Country populations'!H134,'[2]Country populations'!S134)</f>
        <v>23481</v>
      </c>
      <c r="I133" s="40">
        <f>IF([2]Setup!$B$19=[2]Setup!$T$19,'[2]Country populations'!I134,'[2]Country populations'!T134)</f>
        <v>22343</v>
      </c>
      <c r="J133" s="40">
        <f>IF([2]Setup!$B$19=[2]Setup!$T$19,'[2]Country populations'!J134,'[2]Country populations'!U134)</f>
        <v>21350</v>
      </c>
      <c r="K133" s="40">
        <f>IF([2]Setup!$B$19=[2]Setup!$T$19,'[2]Country populations'!K134,'[2]Country populations'!V134)</f>
        <v>20481</v>
      </c>
      <c r="L133" s="40">
        <f>IF([2]Setup!$B$19=[2]Setup!$T$19,'[2]Country populations'!L134,'[2]Country populations'!W134)</f>
        <v>19692</v>
      </c>
      <c r="M133" s="40" t="str">
        <f t="shared" si="6"/>
        <v>Niger</v>
      </c>
      <c r="N133" s="40">
        <f>IF([2]Setup!$B$20=[2]Setup!$U$19,'[2]Country populations'!X134,'[2]Country populations'!AI134)</f>
        <v>6386</v>
      </c>
      <c r="O133" s="40">
        <f>IF([2]Setup!$B$20=[2]Setup!$U$19,'[2]Country populations'!Y134,'[2]Country populations'!AJ134)</f>
        <v>6126</v>
      </c>
      <c r="P133" s="40">
        <f>IF([2]Setup!$B$20=[2]Setup!$U$19,'[2]Country populations'!Z134,'[2]Country populations'!AK134)</f>
        <v>5853</v>
      </c>
      <c r="Q133" s="40">
        <f>IF([2]Setup!$B$20=[2]Setup!$U$19,'[2]Country populations'!AA134,'[2]Country populations'!AL134)</f>
        <v>5585</v>
      </c>
      <c r="R133" s="40">
        <f>IF([2]Setup!$B$20=[2]Setup!$U$19,'[2]Country populations'!AB134,'[2]Country populations'!AM134)</f>
        <v>5321</v>
      </c>
      <c r="S133" s="40">
        <f>IF([2]Setup!$B$20=[2]Setup!$U$19,'[2]Country populations'!AC134,'[2]Country populations'!AN134)</f>
        <v>5075</v>
      </c>
      <c r="T133" s="40">
        <f>IF([2]Setup!$B$20=[2]Setup!$U$19,'[2]Country populations'!AD134,'[2]Country populations'!AO134)</f>
        <v>4849</v>
      </c>
      <c r="U133" s="40">
        <f>IF([2]Setup!$B$20=[2]Setup!$U$19,'[2]Country populations'!AE134,'[2]Country populations'!AP134)</f>
        <v>4601</v>
      </c>
      <c r="V133" s="40">
        <f>IF([2]Setup!$B$20=[2]Setup!$U$19,'[2]Country populations'!AF134,'[2]Country populations'!AQ134)</f>
        <v>4325</v>
      </c>
      <c r="W133" s="40">
        <f>IF([2]Setup!$B$20=[2]Setup!$U$19,'[2]Country populations'!AG134,'[2]Country populations'!AR134)</f>
        <v>4052</v>
      </c>
      <c r="X133" s="40">
        <f>IF([2]Setup!$B$20=[2]Setup!$U$19,'[2]Country populations'!AH134,'[2]Country populations'!AS134)</f>
        <v>3823</v>
      </c>
      <c r="Y133" s="40" t="str">
        <f t="shared" si="7"/>
        <v>Niger</v>
      </c>
      <c r="Z133" s="40">
        <f>IF([2]Setup!$B$21=[2]Setup!$V$19,'[2]Country populations'!AT134,'[2]Country populations'!BE134)</f>
        <v>2230</v>
      </c>
      <c r="AA133" s="40">
        <f>IF([2]Setup!$B$21=[2]Setup!$V$19,'[2]Country populations'!AU134,'[2]Country populations'!BF134)</f>
        <v>2011</v>
      </c>
      <c r="AB133" s="40">
        <f>IF([2]Setup!$B$21=[2]Setup!$V$19,'[2]Country populations'!AV134,'[2]Country populations'!BG134)</f>
        <v>1809</v>
      </c>
      <c r="AC133" s="40">
        <f>IF([2]Setup!$B$21=[2]Setup!$V$19,'[2]Country populations'!AW134,'[2]Country populations'!BH134)</f>
        <v>1627</v>
      </c>
      <c r="AD133" s="40">
        <f>IF([2]Setup!$B$21=[2]Setup!$V$19,'[2]Country populations'!AX134,'[2]Country populations'!BI134)</f>
        <v>1464</v>
      </c>
      <c r="AE133" s="40">
        <f>IF([2]Setup!$B$21=[2]Setup!$V$19,'[2]Country populations'!AY134,'[2]Country populations'!BJ134)</f>
        <v>1320</v>
      </c>
      <c r="AF133" s="40">
        <f>IF([2]Setup!$B$21=[2]Setup!$V$19,'[2]Country populations'!AZ134,'[2]Country populations'!BK134)</f>
        <v>1194</v>
      </c>
      <c r="AG133" s="40">
        <f>IF([2]Setup!$B$21=[2]Setup!$V$19,'[2]Country populations'!BA134,'[2]Country populations'!BL134)</f>
        <v>1087</v>
      </c>
      <c r="AH133" s="40">
        <f>IF([2]Setup!$B$21=[2]Setup!$V$19,'[2]Country populations'!BB134,'[2]Country populations'!BM134)</f>
        <v>997</v>
      </c>
      <c r="AI133" s="40">
        <f>IF([2]Setup!$B$21=[2]Setup!$V$19,'[2]Country populations'!BC134,'[2]Country populations'!BN134)</f>
        <v>921</v>
      </c>
      <c r="AJ133" s="40">
        <f>IF([2]Setup!$B$21=[2]Setup!$V$19,'[2]Country populations'!BD134,'[2]Country populations'!BO134)</f>
        <v>855</v>
      </c>
    </row>
    <row r="134" spans="1:36" x14ac:dyDescent="0.25">
      <c r="A134" t="str">
        <f>'[2]Country populations'!A135</f>
        <v>Nigeria</v>
      </c>
      <c r="B134" s="40">
        <f>IF([2]Setup!$B$19=[2]Setup!$T$19,'[2]Country populations'!B135,'[2]Country populations'!M135)</f>
        <v>3182615</v>
      </c>
      <c r="C134" s="40">
        <f>IF([2]Setup!$B$19=[2]Setup!$T$19,'[2]Country populations'!C135,'[2]Country populations'!N135)</f>
        <v>3222196</v>
      </c>
      <c r="D134" s="40">
        <f>IF([2]Setup!$B$19=[2]Setup!$T$19,'[2]Country populations'!D135,'[2]Country populations'!O135)</f>
        <v>3244335</v>
      </c>
      <c r="E134" s="40">
        <f>IF([2]Setup!$B$19=[2]Setup!$T$19,'[2]Country populations'!E135,'[2]Country populations'!P135)</f>
        <v>3250542</v>
      </c>
      <c r="F134" s="40">
        <f>IF([2]Setup!$B$19=[2]Setup!$T$19,'[2]Country populations'!F135,'[2]Country populations'!Q135)</f>
        <v>3242060</v>
      </c>
      <c r="G134" s="40">
        <f>IF([2]Setup!$B$19=[2]Setup!$T$19,'[2]Country populations'!G135,'[2]Country populations'!R135)</f>
        <v>3219843</v>
      </c>
      <c r="H134" s="40">
        <f>IF([2]Setup!$B$19=[2]Setup!$T$19,'[2]Country populations'!H135,'[2]Country populations'!S135)</f>
        <v>3194996</v>
      </c>
      <c r="I134" s="40">
        <f>IF([2]Setup!$B$19=[2]Setup!$T$19,'[2]Country populations'!I135,'[2]Country populations'!T135)</f>
        <v>3168212</v>
      </c>
      <c r="J134" s="40">
        <f>IF([2]Setup!$B$19=[2]Setup!$T$19,'[2]Country populations'!J135,'[2]Country populations'!U135)</f>
        <v>3140366</v>
      </c>
      <c r="K134" s="40">
        <f>IF([2]Setup!$B$19=[2]Setup!$T$19,'[2]Country populations'!K135,'[2]Country populations'!V135)</f>
        <v>3113925</v>
      </c>
      <c r="L134" s="40">
        <f>IF([2]Setup!$B$19=[2]Setup!$T$19,'[2]Country populations'!L135,'[2]Country populations'!W135)</f>
        <v>3090955</v>
      </c>
      <c r="M134" s="40" t="str">
        <f t="shared" si="6"/>
        <v>Nigeria</v>
      </c>
      <c r="N134" s="40">
        <f>IF([2]Setup!$B$20=[2]Setup!$U$19,'[2]Country populations'!X135,'[2]Country populations'!AI135)</f>
        <v>414176</v>
      </c>
      <c r="O134" s="40">
        <f>IF([2]Setup!$B$20=[2]Setup!$U$19,'[2]Country populations'!Y135,'[2]Country populations'!AJ135)</f>
        <v>423949</v>
      </c>
      <c r="P134" s="40">
        <f>IF([2]Setup!$B$20=[2]Setup!$U$19,'[2]Country populations'!Z135,'[2]Country populations'!AK135)</f>
        <v>427313</v>
      </c>
      <c r="Q134" s="40">
        <f>IF([2]Setup!$B$20=[2]Setup!$U$19,'[2]Country populations'!AA135,'[2]Country populations'!AL135)</f>
        <v>426363</v>
      </c>
      <c r="R134" s="40">
        <f>IF([2]Setup!$B$20=[2]Setup!$U$19,'[2]Country populations'!AB135,'[2]Country populations'!AM135)</f>
        <v>424229</v>
      </c>
      <c r="S134" s="40">
        <f>IF([2]Setup!$B$20=[2]Setup!$U$19,'[2]Country populations'!AC135,'[2]Country populations'!AN135)</f>
        <v>421022</v>
      </c>
      <c r="T134" s="40">
        <f>IF([2]Setup!$B$20=[2]Setup!$U$19,'[2]Country populations'!AD135,'[2]Country populations'!AO135)</f>
        <v>415724</v>
      </c>
      <c r="U134" s="40">
        <f>IF([2]Setup!$B$20=[2]Setup!$U$19,'[2]Country populations'!AE135,'[2]Country populations'!AP135)</f>
        <v>407241</v>
      </c>
      <c r="V134" s="40">
        <f>IF([2]Setup!$B$20=[2]Setup!$U$19,'[2]Country populations'!AF135,'[2]Country populations'!AQ135)</f>
        <v>395362</v>
      </c>
      <c r="W134" s="40">
        <f>IF([2]Setup!$B$20=[2]Setup!$U$19,'[2]Country populations'!AG135,'[2]Country populations'!AR135)</f>
        <v>378702</v>
      </c>
      <c r="X134" s="40">
        <f>IF([2]Setup!$B$20=[2]Setup!$U$19,'[2]Country populations'!AH135,'[2]Country populations'!AS135)</f>
        <v>356077</v>
      </c>
      <c r="Y134" s="40" t="str">
        <f t="shared" si="7"/>
        <v>Nigeria</v>
      </c>
      <c r="Z134" s="40">
        <f>IF([2]Setup!$B$21=[2]Setup!$V$19,'[2]Country populations'!AT135,'[2]Country populations'!BE135)</f>
        <v>231014</v>
      </c>
      <c r="AA134" s="40">
        <f>IF([2]Setup!$B$21=[2]Setup!$V$19,'[2]Country populations'!AU135,'[2]Country populations'!BF135)</f>
        <v>229832</v>
      </c>
      <c r="AB134" s="40">
        <f>IF([2]Setup!$B$21=[2]Setup!$V$19,'[2]Country populations'!AV135,'[2]Country populations'!BG135)</f>
        <v>224238</v>
      </c>
      <c r="AC134" s="40">
        <f>IF([2]Setup!$B$21=[2]Setup!$V$19,'[2]Country populations'!AW135,'[2]Country populations'!BH135)</f>
        <v>217149</v>
      </c>
      <c r="AD134" s="40">
        <f>IF([2]Setup!$B$21=[2]Setup!$V$19,'[2]Country populations'!AX135,'[2]Country populations'!BI135)</f>
        <v>208475</v>
      </c>
      <c r="AE134" s="40">
        <f>IF([2]Setup!$B$21=[2]Setup!$V$19,'[2]Country populations'!AY135,'[2]Country populations'!BJ135)</f>
        <v>198600</v>
      </c>
      <c r="AF134" s="40">
        <f>IF([2]Setup!$B$21=[2]Setup!$V$19,'[2]Country populations'!AZ135,'[2]Country populations'!BK135)</f>
        <v>188094</v>
      </c>
      <c r="AG134" s="40">
        <f>IF([2]Setup!$B$21=[2]Setup!$V$19,'[2]Country populations'!BA135,'[2]Country populations'!BL135)</f>
        <v>177515</v>
      </c>
      <c r="AH134" s="40">
        <f>IF([2]Setup!$B$21=[2]Setup!$V$19,'[2]Country populations'!BB135,'[2]Country populations'!BM135)</f>
        <v>167124</v>
      </c>
      <c r="AI134" s="40">
        <f>IF([2]Setup!$B$21=[2]Setup!$V$19,'[2]Country populations'!BC135,'[2]Country populations'!BN135)</f>
        <v>157155</v>
      </c>
      <c r="AJ134" s="40">
        <f>IF([2]Setup!$B$21=[2]Setup!$V$19,'[2]Country populations'!BD135,'[2]Country populations'!BO135)</f>
        <v>147832</v>
      </c>
    </row>
    <row r="135" spans="1:36" x14ac:dyDescent="0.25">
      <c r="A135" t="str">
        <f>'[2]Country populations'!A136</f>
        <v>Norway</v>
      </c>
      <c r="B135" s="40">
        <f>IF([2]Setup!$B$19=[2]Setup!$T$19,'[2]Country populations'!B136,'[2]Country populations'!M136)</f>
        <v>5691</v>
      </c>
      <c r="C135" s="40">
        <f>IF([2]Setup!$B$19=[2]Setup!$T$19,'[2]Country populations'!C136,'[2]Country populations'!N136)</f>
        <v>5973</v>
      </c>
      <c r="D135" s="40">
        <f>IF([2]Setup!$B$19=[2]Setup!$T$19,'[2]Country populations'!D136,'[2]Country populations'!O136)</f>
        <v>6255</v>
      </c>
      <c r="E135" s="40">
        <f>IF([2]Setup!$B$19=[2]Setup!$T$19,'[2]Country populations'!E136,'[2]Country populations'!P136)</f>
        <v>6534</v>
      </c>
      <c r="F135" s="40">
        <f>IF([2]Setup!$B$19=[2]Setup!$T$19,'[2]Country populations'!F136,'[2]Country populations'!Q136)</f>
        <v>6810</v>
      </c>
      <c r="G135" s="40">
        <f>IF([2]Setup!$B$19=[2]Setup!$T$19,'[2]Country populations'!G136,'[2]Country populations'!R136)</f>
        <v>7078</v>
      </c>
      <c r="H135" s="40">
        <f>IF([2]Setup!$B$19=[2]Setup!$T$19,'[2]Country populations'!H136,'[2]Country populations'!S136)</f>
        <v>7340</v>
      </c>
      <c r="I135" s="40">
        <f>IF([2]Setup!$B$19=[2]Setup!$T$19,'[2]Country populations'!I136,'[2]Country populations'!T136)</f>
        <v>7599</v>
      </c>
      <c r="J135" s="40">
        <f>IF([2]Setup!$B$19=[2]Setup!$T$19,'[2]Country populations'!J136,'[2]Country populations'!U136)</f>
        <v>7855</v>
      </c>
      <c r="K135" s="40">
        <f>IF([2]Setup!$B$19=[2]Setup!$T$19,'[2]Country populations'!K136,'[2]Country populations'!V136)</f>
        <v>8108</v>
      </c>
      <c r="L135" s="40">
        <f>IF([2]Setup!$B$19=[2]Setup!$T$19,'[2]Country populations'!L136,'[2]Country populations'!W136)</f>
        <v>8360</v>
      </c>
      <c r="M135" s="40" t="str">
        <f t="shared" si="6"/>
        <v>Norway</v>
      </c>
      <c r="N135" s="40">
        <f>IF([2]Setup!$B$20=[2]Setup!$U$19,'[2]Country populations'!X136,'[2]Country populations'!AI136)</f>
        <v>35</v>
      </c>
      <c r="O135" s="40">
        <f>IF([2]Setup!$B$20=[2]Setup!$U$19,'[2]Country populations'!Y136,'[2]Country populations'!AJ136)</f>
        <v>42</v>
      </c>
      <c r="P135" s="40">
        <f>IF([2]Setup!$B$20=[2]Setup!$U$19,'[2]Country populations'!Z136,'[2]Country populations'!AK136)</f>
        <v>50</v>
      </c>
      <c r="Q135" s="40">
        <f>IF([2]Setup!$B$20=[2]Setup!$U$19,'[2]Country populations'!AA136,'[2]Country populations'!AL136)</f>
        <v>61</v>
      </c>
      <c r="R135" s="40">
        <f>IF([2]Setup!$B$20=[2]Setup!$U$19,'[2]Country populations'!AB136,'[2]Country populations'!AM136)</f>
        <v>72</v>
      </c>
      <c r="S135" s="40">
        <f>IF([2]Setup!$B$20=[2]Setup!$U$19,'[2]Country populations'!AC136,'[2]Country populations'!AN136)</f>
        <v>101</v>
      </c>
      <c r="T135" s="40">
        <f>IF([2]Setup!$B$20=[2]Setup!$U$19,'[2]Country populations'!AD136,'[2]Country populations'!AO136)</f>
        <v>140</v>
      </c>
      <c r="U135" s="40">
        <f>IF([2]Setup!$B$20=[2]Setup!$U$19,'[2]Country populations'!AE136,'[2]Country populations'!AP136)</f>
        <v>178</v>
      </c>
      <c r="V135" s="40">
        <f>IF([2]Setup!$B$20=[2]Setup!$U$19,'[2]Country populations'!AF136,'[2]Country populations'!AQ136)</f>
        <v>218</v>
      </c>
      <c r="W135" s="40">
        <f>IF([2]Setup!$B$20=[2]Setup!$U$19,'[2]Country populations'!AG136,'[2]Country populations'!AR136)</f>
        <v>257</v>
      </c>
      <c r="X135" s="40">
        <f>IF([2]Setup!$B$20=[2]Setup!$U$19,'[2]Country populations'!AH136,'[2]Country populations'!AS136)</f>
        <v>295</v>
      </c>
      <c r="Y135" s="40" t="str">
        <f t="shared" si="7"/>
        <v>Norway</v>
      </c>
      <c r="Z135" s="40">
        <f>IF([2]Setup!$B$21=[2]Setup!$V$19,'[2]Country populations'!AT136,'[2]Country populations'!BE136)</f>
        <v>50</v>
      </c>
      <c r="AA135" s="40">
        <f>IF([2]Setup!$B$21=[2]Setup!$V$19,'[2]Country populations'!AU136,'[2]Country populations'!BF136)</f>
        <v>52</v>
      </c>
      <c r="AB135" s="40">
        <f>IF([2]Setup!$B$21=[2]Setup!$V$19,'[2]Country populations'!AV136,'[2]Country populations'!BG136)</f>
        <v>54</v>
      </c>
      <c r="AC135" s="40">
        <f>IF([2]Setup!$B$21=[2]Setup!$V$19,'[2]Country populations'!AW136,'[2]Country populations'!BH136)</f>
        <v>55</v>
      </c>
      <c r="AD135" s="40">
        <f>IF([2]Setup!$B$21=[2]Setup!$V$19,'[2]Country populations'!AX136,'[2]Country populations'!BI136)</f>
        <v>57</v>
      </c>
      <c r="AE135" s="40">
        <f>IF([2]Setup!$B$21=[2]Setup!$V$19,'[2]Country populations'!AY136,'[2]Country populations'!BJ136)</f>
        <v>58</v>
      </c>
      <c r="AF135" s="40">
        <f>IF([2]Setup!$B$21=[2]Setup!$V$19,'[2]Country populations'!AZ136,'[2]Country populations'!BK136)</f>
        <v>60</v>
      </c>
      <c r="AG135" s="40">
        <f>IF([2]Setup!$B$21=[2]Setup!$V$19,'[2]Country populations'!BA136,'[2]Country populations'!BL136)</f>
        <v>61</v>
      </c>
      <c r="AH135" s="40">
        <f>IF([2]Setup!$B$21=[2]Setup!$V$19,'[2]Country populations'!BB136,'[2]Country populations'!BM136)</f>
        <v>62</v>
      </c>
      <c r="AI135" s="40">
        <f>IF([2]Setup!$B$21=[2]Setup!$V$19,'[2]Country populations'!BC136,'[2]Country populations'!BN136)</f>
        <v>63</v>
      </c>
      <c r="AJ135" s="40">
        <f>IF([2]Setup!$B$21=[2]Setup!$V$19,'[2]Country populations'!BD136,'[2]Country populations'!BO136)</f>
        <v>63</v>
      </c>
    </row>
    <row r="136" spans="1:36" x14ac:dyDescent="0.25">
      <c r="A136" t="str">
        <f>'[2]Country populations'!A137</f>
        <v>Oman</v>
      </c>
      <c r="B136" s="40">
        <f>IF([2]Setup!$B$19=[2]Setup!$T$19,'[2]Country populations'!B137,'[2]Country populations'!M137)</f>
        <v>4909</v>
      </c>
      <c r="C136" s="40">
        <f>IF([2]Setup!$B$19=[2]Setup!$T$19,'[2]Country populations'!C137,'[2]Country populations'!N137)</f>
        <v>5214</v>
      </c>
      <c r="D136" s="40">
        <f>IF([2]Setup!$B$19=[2]Setup!$T$19,'[2]Country populations'!D137,'[2]Country populations'!O137)</f>
        <v>5514</v>
      </c>
      <c r="E136" s="40">
        <f>IF([2]Setup!$B$19=[2]Setup!$T$19,'[2]Country populations'!E137,'[2]Country populations'!P137)</f>
        <v>5818</v>
      </c>
      <c r="F136" s="40">
        <f>IF([2]Setup!$B$19=[2]Setup!$T$19,'[2]Country populations'!F137,'[2]Country populations'!Q137)</f>
        <v>6124</v>
      </c>
      <c r="G136" s="40">
        <f>IF([2]Setup!$B$19=[2]Setup!$T$19,'[2]Country populations'!G137,'[2]Country populations'!R137)</f>
        <v>6435</v>
      </c>
      <c r="H136" s="40">
        <f>IF([2]Setup!$B$19=[2]Setup!$T$19,'[2]Country populations'!H137,'[2]Country populations'!S137)</f>
        <v>6731</v>
      </c>
      <c r="I136" s="40">
        <f>IF([2]Setup!$B$19=[2]Setup!$T$19,'[2]Country populations'!I137,'[2]Country populations'!T137)</f>
        <v>7008</v>
      </c>
      <c r="J136" s="40">
        <f>IF([2]Setup!$B$19=[2]Setup!$T$19,'[2]Country populations'!J137,'[2]Country populations'!U137)</f>
        <v>7268</v>
      </c>
      <c r="K136" s="40">
        <f>IF([2]Setup!$B$19=[2]Setup!$T$19,'[2]Country populations'!K137,'[2]Country populations'!V137)</f>
        <v>7505</v>
      </c>
      <c r="L136" s="40">
        <f>IF([2]Setup!$B$19=[2]Setup!$T$19,'[2]Country populations'!L137,'[2]Country populations'!W137)</f>
        <v>7721</v>
      </c>
      <c r="M136" s="40" t="str">
        <f t="shared" si="6"/>
        <v>Oman</v>
      </c>
      <c r="N136" s="40">
        <f>IF([2]Setup!$B$20=[2]Setup!$U$19,'[2]Country populations'!X137,'[2]Country populations'!AI137)</f>
        <v>133</v>
      </c>
      <c r="O136" s="40">
        <f>IF([2]Setup!$B$20=[2]Setup!$U$19,'[2]Country populations'!Y137,'[2]Country populations'!AJ137)</f>
        <v>140</v>
      </c>
      <c r="P136" s="40">
        <f>IF([2]Setup!$B$20=[2]Setup!$U$19,'[2]Country populations'!Z137,'[2]Country populations'!AK137)</f>
        <v>148</v>
      </c>
      <c r="Q136" s="40">
        <f>IF([2]Setup!$B$20=[2]Setup!$U$19,'[2]Country populations'!AA137,'[2]Country populations'!AL137)</f>
        <v>155</v>
      </c>
      <c r="R136" s="40">
        <f>IF([2]Setup!$B$20=[2]Setup!$U$19,'[2]Country populations'!AB137,'[2]Country populations'!AM137)</f>
        <v>161</v>
      </c>
      <c r="S136" s="40">
        <f>IF([2]Setup!$B$20=[2]Setup!$U$19,'[2]Country populations'!AC137,'[2]Country populations'!AN137)</f>
        <v>165</v>
      </c>
      <c r="T136" s="40">
        <f>IF([2]Setup!$B$20=[2]Setup!$U$19,'[2]Country populations'!AD137,'[2]Country populations'!AO137)</f>
        <v>170</v>
      </c>
      <c r="U136" s="40">
        <f>IF([2]Setup!$B$20=[2]Setup!$U$19,'[2]Country populations'!AE137,'[2]Country populations'!AP137)</f>
        <v>173</v>
      </c>
      <c r="V136" s="40">
        <f>IF([2]Setup!$B$20=[2]Setup!$U$19,'[2]Country populations'!AF137,'[2]Country populations'!AQ137)</f>
        <v>174</v>
      </c>
      <c r="W136" s="40">
        <f>IF([2]Setup!$B$20=[2]Setup!$U$19,'[2]Country populations'!AG137,'[2]Country populations'!AR137)</f>
        <v>175</v>
      </c>
      <c r="X136" s="40">
        <f>IF([2]Setup!$B$20=[2]Setup!$U$19,'[2]Country populations'!AH137,'[2]Country populations'!AS137)</f>
        <v>176</v>
      </c>
      <c r="Y136" s="40" t="str">
        <f t="shared" si="7"/>
        <v>Oman</v>
      </c>
      <c r="Z136" s="40">
        <f>IF([2]Setup!$B$21=[2]Setup!$V$19,'[2]Country populations'!AT137,'[2]Country populations'!BE137)</f>
        <v>53</v>
      </c>
      <c r="AA136" s="40">
        <f>IF([2]Setup!$B$21=[2]Setup!$V$19,'[2]Country populations'!AU137,'[2]Country populations'!BF137)</f>
        <v>52</v>
      </c>
      <c r="AB136" s="40">
        <f>IF([2]Setup!$B$21=[2]Setup!$V$19,'[2]Country populations'!AV137,'[2]Country populations'!BG137)</f>
        <v>51</v>
      </c>
      <c r="AC136" s="40">
        <f>IF([2]Setup!$B$21=[2]Setup!$V$19,'[2]Country populations'!AW137,'[2]Country populations'!BH137)</f>
        <v>51</v>
      </c>
      <c r="AD136" s="40">
        <f>IF([2]Setup!$B$21=[2]Setup!$V$19,'[2]Country populations'!AX137,'[2]Country populations'!BI137)</f>
        <v>51</v>
      </c>
      <c r="AE136" s="40">
        <f>IF([2]Setup!$B$21=[2]Setup!$V$19,'[2]Country populations'!AY137,'[2]Country populations'!BJ137)</f>
        <v>51</v>
      </c>
      <c r="AF136" s="40">
        <f>IF([2]Setup!$B$21=[2]Setup!$V$19,'[2]Country populations'!AZ137,'[2]Country populations'!BK137)</f>
        <v>50</v>
      </c>
      <c r="AG136" s="40">
        <f>IF([2]Setup!$B$21=[2]Setup!$V$19,'[2]Country populations'!BA137,'[2]Country populations'!BL137)</f>
        <v>50</v>
      </c>
      <c r="AH136" s="40">
        <f>IF([2]Setup!$B$21=[2]Setup!$V$19,'[2]Country populations'!BB137,'[2]Country populations'!BM137)</f>
        <v>49</v>
      </c>
      <c r="AI136" s="40">
        <f>IF([2]Setup!$B$21=[2]Setup!$V$19,'[2]Country populations'!BC137,'[2]Country populations'!BN137)</f>
        <v>48</v>
      </c>
      <c r="AJ136" s="40">
        <f>IF([2]Setup!$B$21=[2]Setup!$V$19,'[2]Country populations'!BD137,'[2]Country populations'!BO137)</f>
        <v>48</v>
      </c>
    </row>
    <row r="137" spans="1:36" x14ac:dyDescent="0.25">
      <c r="A137" t="str">
        <f>'[2]Country populations'!A138</f>
        <v>Pakistan</v>
      </c>
      <c r="B137" s="40">
        <f>IF([2]Setup!$B$19=[2]Setup!$T$19,'[2]Country populations'!B138,'[2]Country populations'!M138)</f>
        <v>109118</v>
      </c>
      <c r="C137" s="40">
        <f>IF([2]Setup!$B$19=[2]Setup!$T$19,'[2]Country populations'!C138,'[2]Country populations'!N138)</f>
        <v>131334</v>
      </c>
      <c r="D137" s="40">
        <f>IF([2]Setup!$B$19=[2]Setup!$T$19,'[2]Country populations'!D138,'[2]Country populations'!O138)</f>
        <v>158442</v>
      </c>
      <c r="E137" s="40">
        <f>IF([2]Setup!$B$19=[2]Setup!$T$19,'[2]Country populations'!E138,'[2]Country populations'!P138)</f>
        <v>191955</v>
      </c>
      <c r="F137" s="40">
        <f>IF([2]Setup!$B$19=[2]Setup!$T$19,'[2]Country populations'!F138,'[2]Country populations'!Q138)</f>
        <v>233660</v>
      </c>
      <c r="G137" s="40">
        <f>IF([2]Setup!$B$19=[2]Setup!$T$19,'[2]Country populations'!G138,'[2]Country populations'!R138)</f>
        <v>285836</v>
      </c>
      <c r="H137" s="40">
        <f>IF([2]Setup!$B$19=[2]Setup!$T$19,'[2]Country populations'!H138,'[2]Country populations'!S138)</f>
        <v>336618</v>
      </c>
      <c r="I137" s="40">
        <f>IF([2]Setup!$B$19=[2]Setup!$T$19,'[2]Country populations'!I138,'[2]Country populations'!T138)</f>
        <v>385527</v>
      </c>
      <c r="J137" s="40">
        <f>IF([2]Setup!$B$19=[2]Setup!$T$19,'[2]Country populations'!J138,'[2]Country populations'!U138)</f>
        <v>432090</v>
      </c>
      <c r="K137" s="40">
        <f>IF([2]Setup!$B$19=[2]Setup!$T$19,'[2]Country populations'!K138,'[2]Country populations'!V138)</f>
        <v>475898</v>
      </c>
      <c r="L137" s="40">
        <f>IF([2]Setup!$B$19=[2]Setup!$T$19,'[2]Country populations'!L138,'[2]Country populations'!W138)</f>
        <v>516679</v>
      </c>
      <c r="M137" s="40" t="str">
        <f t="shared" si="6"/>
        <v>Pakistan</v>
      </c>
      <c r="N137" s="40">
        <f>IF([2]Setup!$B$20=[2]Setup!$U$19,'[2]Country populations'!X138,'[2]Country populations'!AI138)</f>
        <v>2565</v>
      </c>
      <c r="O137" s="40">
        <f>IF([2]Setup!$B$20=[2]Setup!$U$19,'[2]Country populations'!Y138,'[2]Country populations'!AJ138)</f>
        <v>3077</v>
      </c>
      <c r="P137" s="40">
        <f>IF([2]Setup!$B$20=[2]Setup!$U$19,'[2]Country populations'!Z138,'[2]Country populations'!AK138)</f>
        <v>3696</v>
      </c>
      <c r="Q137" s="40">
        <f>IF([2]Setup!$B$20=[2]Setup!$U$19,'[2]Country populations'!AA138,'[2]Country populations'!AL138)</f>
        <v>4455</v>
      </c>
      <c r="R137" s="40">
        <f>IF([2]Setup!$B$20=[2]Setup!$U$19,'[2]Country populations'!AB138,'[2]Country populations'!AM138)</f>
        <v>5391</v>
      </c>
      <c r="S137" s="40">
        <f>IF([2]Setup!$B$20=[2]Setup!$U$19,'[2]Country populations'!AC138,'[2]Country populations'!AN138)</f>
        <v>6558</v>
      </c>
      <c r="T137" s="40">
        <f>IF([2]Setup!$B$20=[2]Setup!$U$19,'[2]Country populations'!AD138,'[2]Country populations'!AO138)</f>
        <v>7814</v>
      </c>
      <c r="U137" s="40">
        <f>IF([2]Setup!$B$20=[2]Setup!$U$19,'[2]Country populations'!AE138,'[2]Country populations'!AP138)</f>
        <v>9172</v>
      </c>
      <c r="V137" s="40">
        <f>IF([2]Setup!$B$20=[2]Setup!$U$19,'[2]Country populations'!AF138,'[2]Country populations'!AQ138)</f>
        <v>10609</v>
      </c>
      <c r="W137" s="40">
        <f>IF([2]Setup!$B$20=[2]Setup!$U$19,'[2]Country populations'!AG138,'[2]Country populations'!AR138)</f>
        <v>12112</v>
      </c>
      <c r="X137" s="40">
        <f>IF([2]Setup!$B$20=[2]Setup!$U$19,'[2]Country populations'!AH138,'[2]Country populations'!AS138)</f>
        <v>13661</v>
      </c>
      <c r="Y137" s="40" t="str">
        <f t="shared" si="7"/>
        <v>Pakistan</v>
      </c>
      <c r="Z137" s="40">
        <f>IF([2]Setup!$B$21=[2]Setup!$V$19,'[2]Country populations'!AT138,'[2]Country populations'!BE138)</f>
        <v>2058</v>
      </c>
      <c r="AA137" s="40">
        <f>IF([2]Setup!$B$21=[2]Setup!$V$19,'[2]Country populations'!AU138,'[2]Country populations'!BF138)</f>
        <v>2474</v>
      </c>
      <c r="AB137" s="40">
        <f>IF([2]Setup!$B$21=[2]Setup!$V$19,'[2]Country populations'!AV138,'[2]Country populations'!BG138)</f>
        <v>2989</v>
      </c>
      <c r="AC137" s="40">
        <f>IF([2]Setup!$B$21=[2]Setup!$V$19,'[2]Country populations'!AW138,'[2]Country populations'!BH138)</f>
        <v>3632</v>
      </c>
      <c r="AD137" s="40">
        <f>IF([2]Setup!$B$21=[2]Setup!$V$19,'[2]Country populations'!AX138,'[2]Country populations'!BI138)</f>
        <v>4438</v>
      </c>
      <c r="AE137" s="40">
        <f>IF([2]Setup!$B$21=[2]Setup!$V$19,'[2]Country populations'!AY138,'[2]Country populations'!BJ138)</f>
        <v>5448</v>
      </c>
      <c r="AF137" s="40">
        <f>IF([2]Setup!$B$21=[2]Setup!$V$19,'[2]Country populations'!AZ138,'[2]Country populations'!BK138)</f>
        <v>6527</v>
      </c>
      <c r="AG137" s="40">
        <f>IF([2]Setup!$B$21=[2]Setup!$V$19,'[2]Country populations'!BA138,'[2]Country populations'!BL138)</f>
        <v>7515</v>
      </c>
      <c r="AH137" s="40">
        <f>IF([2]Setup!$B$21=[2]Setup!$V$19,'[2]Country populations'!BB138,'[2]Country populations'!BM138)</f>
        <v>8404</v>
      </c>
      <c r="AI137" s="40">
        <f>IF([2]Setup!$B$21=[2]Setup!$V$19,'[2]Country populations'!BC138,'[2]Country populations'!BN138)</f>
        <v>9188</v>
      </c>
      <c r="AJ137" s="40">
        <f>IF([2]Setup!$B$21=[2]Setup!$V$19,'[2]Country populations'!BD138,'[2]Country populations'!BO138)</f>
        <v>9864</v>
      </c>
    </row>
    <row r="138" spans="1:36" x14ac:dyDescent="0.25">
      <c r="A138" t="str">
        <f>'[2]Country populations'!A139</f>
        <v>Panama</v>
      </c>
      <c r="B138" s="40">
        <f>IF([2]Setup!$B$19=[2]Setup!$T$19,'[2]Country populations'!B139,'[2]Country populations'!M139)</f>
        <v>17698</v>
      </c>
      <c r="C138" s="40">
        <f>IF([2]Setup!$B$19=[2]Setup!$T$19,'[2]Country populations'!C139,'[2]Country populations'!N139)</f>
        <v>18076</v>
      </c>
      <c r="D138" s="40">
        <f>IF([2]Setup!$B$19=[2]Setup!$T$19,'[2]Country populations'!D139,'[2]Country populations'!O139)</f>
        <v>18326</v>
      </c>
      <c r="E138" s="40">
        <f>IF([2]Setup!$B$19=[2]Setup!$T$19,'[2]Country populations'!E139,'[2]Country populations'!P139)</f>
        <v>18576</v>
      </c>
      <c r="F138" s="40">
        <f>IF([2]Setup!$B$19=[2]Setup!$T$19,'[2]Country populations'!F139,'[2]Country populations'!Q139)</f>
        <v>18814</v>
      </c>
      <c r="G138" s="40">
        <f>IF([2]Setup!$B$19=[2]Setup!$T$19,'[2]Country populations'!G139,'[2]Country populations'!R139)</f>
        <v>19044</v>
      </c>
      <c r="H138" s="40">
        <f>IF([2]Setup!$B$19=[2]Setup!$T$19,'[2]Country populations'!H139,'[2]Country populations'!S139)</f>
        <v>19264</v>
      </c>
      <c r="I138" s="40">
        <f>IF([2]Setup!$B$19=[2]Setup!$T$19,'[2]Country populations'!I139,'[2]Country populations'!T139)</f>
        <v>19477</v>
      </c>
      <c r="J138" s="40">
        <f>IF([2]Setup!$B$19=[2]Setup!$T$19,'[2]Country populations'!J139,'[2]Country populations'!U139)</f>
        <v>19678</v>
      </c>
      <c r="K138" s="40">
        <f>IF([2]Setup!$B$19=[2]Setup!$T$19,'[2]Country populations'!K139,'[2]Country populations'!V139)</f>
        <v>19872</v>
      </c>
      <c r="L138" s="40">
        <f>IF([2]Setup!$B$19=[2]Setup!$T$19,'[2]Country populations'!L139,'[2]Country populations'!W139)</f>
        <v>20054</v>
      </c>
      <c r="M138" s="40" t="str">
        <f t="shared" si="6"/>
        <v>Panama</v>
      </c>
      <c r="N138" s="40">
        <f>IF([2]Setup!$B$20=[2]Setup!$U$19,'[2]Country populations'!X139,'[2]Country populations'!AI139)</f>
        <v>598</v>
      </c>
      <c r="O138" s="40">
        <f>IF([2]Setup!$B$20=[2]Setup!$U$19,'[2]Country populations'!Y139,'[2]Country populations'!AJ139)</f>
        <v>585</v>
      </c>
      <c r="P138" s="40">
        <f>IF([2]Setup!$B$20=[2]Setup!$U$19,'[2]Country populations'!Z139,'[2]Country populations'!AK139)</f>
        <v>557</v>
      </c>
      <c r="Q138" s="40">
        <f>IF([2]Setup!$B$20=[2]Setup!$U$19,'[2]Country populations'!AA139,'[2]Country populations'!AL139)</f>
        <v>529</v>
      </c>
      <c r="R138" s="40">
        <f>IF([2]Setup!$B$20=[2]Setup!$U$19,'[2]Country populations'!AB139,'[2]Country populations'!AM139)</f>
        <v>501</v>
      </c>
      <c r="S138" s="40">
        <f>IF([2]Setup!$B$20=[2]Setup!$U$19,'[2]Country populations'!AC139,'[2]Country populations'!AN139)</f>
        <v>472</v>
      </c>
      <c r="T138" s="40">
        <f>IF([2]Setup!$B$20=[2]Setup!$U$19,'[2]Country populations'!AD139,'[2]Country populations'!AO139)</f>
        <v>434</v>
      </c>
      <c r="U138" s="40">
        <f>IF([2]Setup!$B$20=[2]Setup!$U$19,'[2]Country populations'!AE139,'[2]Country populations'!AP139)</f>
        <v>388</v>
      </c>
      <c r="V138" s="40">
        <f>IF([2]Setup!$B$20=[2]Setup!$U$19,'[2]Country populations'!AF139,'[2]Country populations'!AQ139)</f>
        <v>340</v>
      </c>
      <c r="W138" s="40">
        <f>IF([2]Setup!$B$20=[2]Setup!$U$19,'[2]Country populations'!AG139,'[2]Country populations'!AR139)</f>
        <v>289</v>
      </c>
      <c r="X138" s="40">
        <f>IF([2]Setup!$B$20=[2]Setup!$U$19,'[2]Country populations'!AH139,'[2]Country populations'!AS139)</f>
        <v>240</v>
      </c>
      <c r="Y138" s="40" t="str">
        <f t="shared" si="7"/>
        <v>Panama</v>
      </c>
      <c r="Z138" s="40">
        <f>IF([2]Setup!$B$21=[2]Setup!$V$19,'[2]Country populations'!AT139,'[2]Country populations'!BE139)</f>
        <v>191</v>
      </c>
      <c r="AA138" s="40">
        <f>IF([2]Setup!$B$21=[2]Setup!$V$19,'[2]Country populations'!AU139,'[2]Country populations'!BF139)</f>
        <v>189</v>
      </c>
      <c r="AB138" s="40">
        <f>IF([2]Setup!$B$21=[2]Setup!$V$19,'[2]Country populations'!AV139,'[2]Country populations'!BG139)</f>
        <v>183</v>
      </c>
      <c r="AC138" s="40">
        <f>IF([2]Setup!$B$21=[2]Setup!$V$19,'[2]Country populations'!AW139,'[2]Country populations'!BH139)</f>
        <v>177</v>
      </c>
      <c r="AD138" s="40">
        <f>IF([2]Setup!$B$21=[2]Setup!$V$19,'[2]Country populations'!AX139,'[2]Country populations'!BI139)</f>
        <v>171</v>
      </c>
      <c r="AE138" s="40">
        <f>IF([2]Setup!$B$21=[2]Setup!$V$19,'[2]Country populations'!AY139,'[2]Country populations'!BJ139)</f>
        <v>166</v>
      </c>
      <c r="AF138" s="40">
        <f>IF([2]Setup!$B$21=[2]Setup!$V$19,'[2]Country populations'!AZ139,'[2]Country populations'!BK139)</f>
        <v>161</v>
      </c>
      <c r="AG138" s="40">
        <f>IF([2]Setup!$B$21=[2]Setup!$V$19,'[2]Country populations'!BA139,'[2]Country populations'!BL139)</f>
        <v>156</v>
      </c>
      <c r="AH138" s="40">
        <f>IF([2]Setup!$B$21=[2]Setup!$V$19,'[2]Country populations'!BB139,'[2]Country populations'!BM139)</f>
        <v>153</v>
      </c>
      <c r="AI138" s="40">
        <f>IF([2]Setup!$B$21=[2]Setup!$V$19,'[2]Country populations'!BC139,'[2]Country populations'!BN139)</f>
        <v>149</v>
      </c>
      <c r="AJ138" s="40">
        <f>IF([2]Setup!$B$21=[2]Setup!$V$19,'[2]Country populations'!BD139,'[2]Country populations'!BO139)</f>
        <v>146</v>
      </c>
    </row>
    <row r="139" spans="1:36" x14ac:dyDescent="0.25">
      <c r="A139" t="str">
        <f>'[2]Country populations'!A140</f>
        <v>Papua New Guinea</v>
      </c>
      <c r="B139" s="40">
        <f>IF([2]Setup!$B$19=[2]Setup!$T$19,'[2]Country populations'!B140,'[2]Country populations'!M140)</f>
        <v>31889</v>
      </c>
      <c r="C139" s="40">
        <f>IF([2]Setup!$B$19=[2]Setup!$T$19,'[2]Country populations'!C140,'[2]Country populations'!N140)</f>
        <v>32834</v>
      </c>
      <c r="D139" s="40">
        <f>IF([2]Setup!$B$19=[2]Setup!$T$19,'[2]Country populations'!D140,'[2]Country populations'!O140)</f>
        <v>33836</v>
      </c>
      <c r="E139" s="40">
        <f>IF([2]Setup!$B$19=[2]Setup!$T$19,'[2]Country populations'!E140,'[2]Country populations'!P140)</f>
        <v>34889</v>
      </c>
      <c r="F139" s="40">
        <f>IF([2]Setup!$B$19=[2]Setup!$T$19,'[2]Country populations'!F140,'[2]Country populations'!Q140)</f>
        <v>35988</v>
      </c>
      <c r="G139" s="40">
        <f>IF([2]Setup!$B$19=[2]Setup!$T$19,'[2]Country populations'!G140,'[2]Country populations'!R140)</f>
        <v>37136</v>
      </c>
      <c r="H139" s="40">
        <f>IF([2]Setup!$B$19=[2]Setup!$T$19,'[2]Country populations'!H140,'[2]Country populations'!S140)</f>
        <v>38308</v>
      </c>
      <c r="I139" s="40">
        <f>IF([2]Setup!$B$19=[2]Setup!$T$19,'[2]Country populations'!I140,'[2]Country populations'!T140)</f>
        <v>39475</v>
      </c>
      <c r="J139" s="40">
        <f>IF([2]Setup!$B$19=[2]Setup!$T$19,'[2]Country populations'!J140,'[2]Country populations'!U140)</f>
        <v>40621</v>
      </c>
      <c r="K139" s="40">
        <f>IF([2]Setup!$B$19=[2]Setup!$T$19,'[2]Country populations'!K140,'[2]Country populations'!V140)</f>
        <v>41748</v>
      </c>
      <c r="L139" s="40">
        <f>IF([2]Setup!$B$19=[2]Setup!$T$19,'[2]Country populations'!L140,'[2]Country populations'!W140)</f>
        <v>42868</v>
      </c>
      <c r="M139" s="40" t="str">
        <f t="shared" si="6"/>
        <v>Papua New Guinea</v>
      </c>
      <c r="N139" s="40">
        <f>IF([2]Setup!$B$20=[2]Setup!$U$19,'[2]Country populations'!X140,'[2]Country populations'!AI140)</f>
        <v>4301</v>
      </c>
      <c r="O139" s="40">
        <f>IF([2]Setup!$B$20=[2]Setup!$U$19,'[2]Country populations'!Y140,'[2]Country populations'!AJ140)</f>
        <v>4144</v>
      </c>
      <c r="P139" s="40">
        <f>IF([2]Setup!$B$20=[2]Setup!$U$19,'[2]Country populations'!Z140,'[2]Country populations'!AK140)</f>
        <v>3992</v>
      </c>
      <c r="Q139" s="40">
        <f>IF([2]Setup!$B$20=[2]Setup!$U$19,'[2]Country populations'!AA140,'[2]Country populations'!AL140)</f>
        <v>3822</v>
      </c>
      <c r="R139" s="40">
        <f>IF([2]Setup!$B$20=[2]Setup!$U$19,'[2]Country populations'!AB140,'[2]Country populations'!AM140)</f>
        <v>3645</v>
      </c>
      <c r="S139" s="40">
        <f>IF([2]Setup!$B$20=[2]Setup!$U$19,'[2]Country populations'!AC140,'[2]Country populations'!AN140)</f>
        <v>3679</v>
      </c>
      <c r="T139" s="40">
        <f>IF([2]Setup!$B$20=[2]Setup!$U$19,'[2]Country populations'!AD140,'[2]Country populations'!AO140)</f>
        <v>3797</v>
      </c>
      <c r="U139" s="40">
        <f>IF([2]Setup!$B$20=[2]Setup!$U$19,'[2]Country populations'!AE140,'[2]Country populations'!AP140)</f>
        <v>3900</v>
      </c>
      <c r="V139" s="40">
        <f>IF([2]Setup!$B$20=[2]Setup!$U$19,'[2]Country populations'!AF140,'[2]Country populations'!AQ140)</f>
        <v>4010</v>
      </c>
      <c r="W139" s="40">
        <f>IF([2]Setup!$B$20=[2]Setup!$U$19,'[2]Country populations'!AG140,'[2]Country populations'!AR140)</f>
        <v>4121</v>
      </c>
      <c r="X139" s="40">
        <f>IF([2]Setup!$B$20=[2]Setup!$U$19,'[2]Country populations'!AH140,'[2]Country populations'!AS140)</f>
        <v>4220</v>
      </c>
      <c r="Y139" s="40" t="str">
        <f t="shared" si="7"/>
        <v>Papua New Guinea</v>
      </c>
      <c r="Z139" s="40">
        <f>IF([2]Setup!$B$21=[2]Setup!$V$19,'[2]Country populations'!AT140,'[2]Country populations'!BE140)</f>
        <v>1280</v>
      </c>
      <c r="AA139" s="40">
        <f>IF([2]Setup!$B$21=[2]Setup!$V$19,'[2]Country populations'!AU140,'[2]Country populations'!BF140)</f>
        <v>1261</v>
      </c>
      <c r="AB139" s="40">
        <f>IF([2]Setup!$B$21=[2]Setup!$V$19,'[2]Country populations'!AV140,'[2]Country populations'!BG140)</f>
        <v>1249</v>
      </c>
      <c r="AC139" s="40">
        <f>IF([2]Setup!$B$21=[2]Setup!$V$19,'[2]Country populations'!AW140,'[2]Country populations'!BH140)</f>
        <v>1240</v>
      </c>
      <c r="AD139" s="40">
        <f>IF([2]Setup!$B$21=[2]Setup!$V$19,'[2]Country populations'!AX140,'[2]Country populations'!BI140)</f>
        <v>1235</v>
      </c>
      <c r="AE139" s="40">
        <f>IF([2]Setup!$B$21=[2]Setup!$V$19,'[2]Country populations'!AY140,'[2]Country populations'!BJ140)</f>
        <v>1233</v>
      </c>
      <c r="AF139" s="40">
        <f>IF([2]Setup!$B$21=[2]Setup!$V$19,'[2]Country populations'!AZ140,'[2]Country populations'!BK140)</f>
        <v>1232</v>
      </c>
      <c r="AG139" s="40">
        <f>IF([2]Setup!$B$21=[2]Setup!$V$19,'[2]Country populations'!BA140,'[2]Country populations'!BL140)</f>
        <v>1230</v>
      </c>
      <c r="AH139" s="40">
        <f>IF([2]Setup!$B$21=[2]Setup!$V$19,'[2]Country populations'!BB140,'[2]Country populations'!BM140)</f>
        <v>1230</v>
      </c>
      <c r="AI139" s="40">
        <f>IF([2]Setup!$B$21=[2]Setup!$V$19,'[2]Country populations'!BC140,'[2]Country populations'!BN140)</f>
        <v>1231</v>
      </c>
      <c r="AJ139" s="40">
        <f>IF([2]Setup!$B$21=[2]Setup!$V$19,'[2]Country populations'!BD140,'[2]Country populations'!BO140)</f>
        <v>1233</v>
      </c>
    </row>
    <row r="140" spans="1:36" x14ac:dyDescent="0.25">
      <c r="A140" t="str">
        <f>'[2]Country populations'!A141</f>
        <v>Paraguay</v>
      </c>
      <c r="B140" s="40">
        <f>IF([2]Setup!$B$19=[2]Setup!$T$19,'[2]Country populations'!B141,'[2]Country populations'!M141)</f>
        <v>21207</v>
      </c>
      <c r="C140" s="40">
        <f>IF([2]Setup!$B$19=[2]Setup!$T$19,'[2]Country populations'!C141,'[2]Country populations'!N141)</f>
        <v>23224</v>
      </c>
      <c r="D140" s="40">
        <f>IF([2]Setup!$B$19=[2]Setup!$T$19,'[2]Country populations'!D141,'[2]Country populations'!O141)</f>
        <v>25161</v>
      </c>
      <c r="E140" s="40">
        <f>IF([2]Setup!$B$19=[2]Setup!$T$19,'[2]Country populations'!E141,'[2]Country populations'!P141)</f>
        <v>27268</v>
      </c>
      <c r="F140" s="40">
        <f>IF([2]Setup!$B$19=[2]Setup!$T$19,'[2]Country populations'!F141,'[2]Country populations'!Q141)</f>
        <v>29563</v>
      </c>
      <c r="G140" s="40">
        <f>IF([2]Setup!$B$19=[2]Setup!$T$19,'[2]Country populations'!G141,'[2]Country populations'!R141)</f>
        <v>31956</v>
      </c>
      <c r="H140" s="40">
        <f>IF([2]Setup!$B$19=[2]Setup!$T$19,'[2]Country populations'!H141,'[2]Country populations'!S141)</f>
        <v>34279</v>
      </c>
      <c r="I140" s="40">
        <f>IF([2]Setup!$B$19=[2]Setup!$T$19,'[2]Country populations'!I141,'[2]Country populations'!T141)</f>
        <v>36511</v>
      </c>
      <c r="J140" s="40">
        <f>IF([2]Setup!$B$19=[2]Setup!$T$19,'[2]Country populations'!J141,'[2]Country populations'!U141)</f>
        <v>38657</v>
      </c>
      <c r="K140" s="40">
        <f>IF([2]Setup!$B$19=[2]Setup!$T$19,'[2]Country populations'!K141,'[2]Country populations'!V141)</f>
        <v>40716</v>
      </c>
      <c r="L140" s="40">
        <f>IF([2]Setup!$B$19=[2]Setup!$T$19,'[2]Country populations'!L141,'[2]Country populations'!W141)</f>
        <v>42685</v>
      </c>
      <c r="M140" s="40" t="str">
        <f t="shared" si="6"/>
        <v>Paraguay</v>
      </c>
      <c r="N140" s="40">
        <f>IF([2]Setup!$B$20=[2]Setup!$U$19,'[2]Country populations'!X141,'[2]Country populations'!AI141)</f>
        <v>459</v>
      </c>
      <c r="O140" s="40">
        <f>IF([2]Setup!$B$20=[2]Setup!$U$19,'[2]Country populations'!Y141,'[2]Country populations'!AJ141)</f>
        <v>473</v>
      </c>
      <c r="P140" s="40">
        <f>IF([2]Setup!$B$20=[2]Setup!$U$19,'[2]Country populations'!Z141,'[2]Country populations'!AK141)</f>
        <v>467</v>
      </c>
      <c r="Q140" s="40">
        <f>IF([2]Setup!$B$20=[2]Setup!$U$19,'[2]Country populations'!AA141,'[2]Country populations'!AL141)</f>
        <v>457</v>
      </c>
      <c r="R140" s="40">
        <f>IF([2]Setup!$B$20=[2]Setup!$U$19,'[2]Country populations'!AB141,'[2]Country populations'!AM141)</f>
        <v>443</v>
      </c>
      <c r="S140" s="40">
        <f>IF([2]Setup!$B$20=[2]Setup!$U$19,'[2]Country populations'!AC141,'[2]Country populations'!AN141)</f>
        <v>427</v>
      </c>
      <c r="T140" s="40">
        <f>IF([2]Setup!$B$20=[2]Setup!$U$19,'[2]Country populations'!AD141,'[2]Country populations'!AO141)</f>
        <v>420</v>
      </c>
      <c r="U140" s="40">
        <f>IF([2]Setup!$B$20=[2]Setup!$U$19,'[2]Country populations'!AE141,'[2]Country populations'!AP141)</f>
        <v>419</v>
      </c>
      <c r="V140" s="40">
        <f>IF([2]Setup!$B$20=[2]Setup!$U$19,'[2]Country populations'!AF141,'[2]Country populations'!AQ141)</f>
        <v>416</v>
      </c>
      <c r="W140" s="40">
        <f>IF([2]Setup!$B$20=[2]Setup!$U$19,'[2]Country populations'!AG141,'[2]Country populations'!AR141)</f>
        <v>413</v>
      </c>
      <c r="X140" s="40">
        <f>IF([2]Setup!$B$20=[2]Setup!$U$19,'[2]Country populations'!AH141,'[2]Country populations'!AS141)</f>
        <v>411</v>
      </c>
      <c r="Y140" s="40" t="str">
        <f t="shared" si="7"/>
        <v>Paraguay</v>
      </c>
      <c r="Z140" s="40">
        <f>IF([2]Setup!$B$21=[2]Setup!$V$19,'[2]Country populations'!AT141,'[2]Country populations'!BE141)</f>
        <v>418</v>
      </c>
      <c r="AA140" s="40">
        <f>IF([2]Setup!$B$21=[2]Setup!$V$19,'[2]Country populations'!AU141,'[2]Country populations'!BF141)</f>
        <v>453</v>
      </c>
      <c r="AB140" s="40">
        <f>IF([2]Setup!$B$21=[2]Setup!$V$19,'[2]Country populations'!AV141,'[2]Country populations'!BG141)</f>
        <v>485</v>
      </c>
      <c r="AC140" s="40">
        <f>IF([2]Setup!$B$21=[2]Setup!$V$19,'[2]Country populations'!AW141,'[2]Country populations'!BH141)</f>
        <v>518</v>
      </c>
      <c r="AD140" s="40">
        <f>IF([2]Setup!$B$21=[2]Setup!$V$19,'[2]Country populations'!AX141,'[2]Country populations'!BI141)</f>
        <v>554</v>
      </c>
      <c r="AE140" s="40">
        <f>IF([2]Setup!$B$21=[2]Setup!$V$19,'[2]Country populations'!AY141,'[2]Country populations'!BJ141)</f>
        <v>590</v>
      </c>
      <c r="AF140" s="40">
        <f>IF([2]Setup!$B$21=[2]Setup!$V$19,'[2]Country populations'!AZ141,'[2]Country populations'!BK141)</f>
        <v>622</v>
      </c>
      <c r="AG140" s="40">
        <f>IF([2]Setup!$B$21=[2]Setup!$V$19,'[2]Country populations'!BA141,'[2]Country populations'!BL141)</f>
        <v>650</v>
      </c>
      <c r="AH140" s="40">
        <f>IF([2]Setup!$B$21=[2]Setup!$V$19,'[2]Country populations'!BB141,'[2]Country populations'!BM141)</f>
        <v>673</v>
      </c>
      <c r="AI140" s="40">
        <f>IF([2]Setup!$B$21=[2]Setup!$V$19,'[2]Country populations'!BC141,'[2]Country populations'!BN141)</f>
        <v>693</v>
      </c>
      <c r="AJ140" s="40">
        <f>IF([2]Setup!$B$21=[2]Setup!$V$19,'[2]Country populations'!BD141,'[2]Country populations'!BO141)</f>
        <v>710</v>
      </c>
    </row>
    <row r="141" spans="1:36" x14ac:dyDescent="0.25">
      <c r="A141" t="str">
        <f>'[2]Country populations'!A142</f>
        <v>Peru</v>
      </c>
      <c r="B141" s="40">
        <f>IF([2]Setup!$B$19=[2]Setup!$T$19,'[2]Country populations'!B142,'[2]Country populations'!M142)</f>
        <v>67820</v>
      </c>
      <c r="C141" s="40">
        <f>IF([2]Setup!$B$19=[2]Setup!$T$19,'[2]Country populations'!C142,'[2]Country populations'!N142)</f>
        <v>66882</v>
      </c>
      <c r="D141" s="40">
        <f>IF([2]Setup!$B$19=[2]Setup!$T$19,'[2]Country populations'!D142,'[2]Country populations'!O142)</f>
        <v>65631</v>
      </c>
      <c r="E141" s="40">
        <f>IF([2]Setup!$B$19=[2]Setup!$T$19,'[2]Country populations'!E142,'[2]Country populations'!P142)</f>
        <v>64523</v>
      </c>
      <c r="F141" s="40">
        <f>IF([2]Setup!$B$19=[2]Setup!$T$19,'[2]Country populations'!F142,'[2]Country populations'!Q142)</f>
        <v>63678</v>
      </c>
      <c r="G141" s="40">
        <f>IF([2]Setup!$B$19=[2]Setup!$T$19,'[2]Country populations'!G142,'[2]Country populations'!R142)</f>
        <v>63074</v>
      </c>
      <c r="H141" s="40">
        <f>IF([2]Setup!$B$19=[2]Setup!$T$19,'[2]Country populations'!H142,'[2]Country populations'!S142)</f>
        <v>62524</v>
      </c>
      <c r="I141" s="40">
        <f>IF([2]Setup!$B$19=[2]Setup!$T$19,'[2]Country populations'!I142,'[2]Country populations'!T142)</f>
        <v>61933</v>
      </c>
      <c r="J141" s="40">
        <f>IF([2]Setup!$B$19=[2]Setup!$T$19,'[2]Country populations'!J142,'[2]Country populations'!U142)</f>
        <v>61339</v>
      </c>
      <c r="K141" s="40">
        <f>IF([2]Setup!$B$19=[2]Setup!$T$19,'[2]Country populations'!K142,'[2]Country populations'!V142)</f>
        <v>60746</v>
      </c>
      <c r="L141" s="40">
        <f>IF([2]Setup!$B$19=[2]Setup!$T$19,'[2]Country populations'!L142,'[2]Country populations'!W142)</f>
        <v>60158</v>
      </c>
      <c r="M141" s="40" t="str">
        <f t="shared" si="6"/>
        <v>Peru</v>
      </c>
      <c r="N141" s="40">
        <f>IF([2]Setup!$B$20=[2]Setup!$U$19,'[2]Country populations'!X142,'[2]Country populations'!AI142)</f>
        <v>2521</v>
      </c>
      <c r="O141" s="40">
        <f>IF([2]Setup!$B$20=[2]Setup!$U$19,'[2]Country populations'!Y142,'[2]Country populations'!AJ142)</f>
        <v>2383</v>
      </c>
      <c r="P141" s="40">
        <f>IF([2]Setup!$B$20=[2]Setup!$U$19,'[2]Country populations'!Z142,'[2]Country populations'!AK142)</f>
        <v>2294</v>
      </c>
      <c r="Q141" s="40">
        <f>IF([2]Setup!$B$20=[2]Setup!$U$19,'[2]Country populations'!AA142,'[2]Country populations'!AL142)</f>
        <v>2211</v>
      </c>
      <c r="R141" s="40">
        <f>IF([2]Setup!$B$20=[2]Setup!$U$19,'[2]Country populations'!AB142,'[2]Country populations'!AM142)</f>
        <v>2162</v>
      </c>
      <c r="S141" s="40">
        <f>IF([2]Setup!$B$20=[2]Setup!$U$19,'[2]Country populations'!AC142,'[2]Country populations'!AN142)</f>
        <v>2263</v>
      </c>
      <c r="T141" s="40">
        <f>IF([2]Setup!$B$20=[2]Setup!$U$19,'[2]Country populations'!AD142,'[2]Country populations'!AO142)</f>
        <v>2427</v>
      </c>
      <c r="U141" s="40">
        <f>IF([2]Setup!$B$20=[2]Setup!$U$19,'[2]Country populations'!AE142,'[2]Country populations'!AP142)</f>
        <v>2576</v>
      </c>
      <c r="V141" s="40">
        <f>IF([2]Setup!$B$20=[2]Setup!$U$19,'[2]Country populations'!AF142,'[2]Country populations'!AQ142)</f>
        <v>2717</v>
      </c>
      <c r="W141" s="40">
        <f>IF([2]Setup!$B$20=[2]Setup!$U$19,'[2]Country populations'!AG142,'[2]Country populations'!AR142)</f>
        <v>2827</v>
      </c>
      <c r="X141" s="40">
        <f>IF([2]Setup!$B$20=[2]Setup!$U$19,'[2]Country populations'!AH142,'[2]Country populations'!AS142)</f>
        <v>2930</v>
      </c>
      <c r="Y141" s="40" t="str">
        <f t="shared" si="7"/>
        <v>Peru</v>
      </c>
      <c r="Z141" s="40">
        <f>IF([2]Setup!$B$21=[2]Setup!$V$19,'[2]Country populations'!AT142,'[2]Country populations'!BE142)</f>
        <v>1011</v>
      </c>
      <c r="AA141" s="40">
        <f>IF([2]Setup!$B$21=[2]Setup!$V$19,'[2]Country populations'!AU142,'[2]Country populations'!BF142)</f>
        <v>969</v>
      </c>
      <c r="AB141" s="40">
        <f>IF([2]Setup!$B$21=[2]Setup!$V$19,'[2]Country populations'!AV142,'[2]Country populations'!BG142)</f>
        <v>924</v>
      </c>
      <c r="AC141" s="40">
        <f>IF([2]Setup!$B$21=[2]Setup!$V$19,'[2]Country populations'!AW142,'[2]Country populations'!BH142)</f>
        <v>879</v>
      </c>
      <c r="AD141" s="40">
        <f>IF([2]Setup!$B$21=[2]Setup!$V$19,'[2]Country populations'!AX142,'[2]Country populations'!BI142)</f>
        <v>840</v>
      </c>
      <c r="AE141" s="40">
        <f>IF([2]Setup!$B$21=[2]Setup!$V$19,'[2]Country populations'!AY142,'[2]Country populations'!BJ142)</f>
        <v>805</v>
      </c>
      <c r="AF141" s="40">
        <f>IF([2]Setup!$B$21=[2]Setup!$V$19,'[2]Country populations'!AZ142,'[2]Country populations'!BK142)</f>
        <v>771</v>
      </c>
      <c r="AG141" s="40">
        <f>IF([2]Setup!$B$21=[2]Setup!$V$19,'[2]Country populations'!BA142,'[2]Country populations'!BL142)</f>
        <v>738</v>
      </c>
      <c r="AH141" s="40">
        <f>IF([2]Setup!$B$21=[2]Setup!$V$19,'[2]Country populations'!BB142,'[2]Country populations'!BM142)</f>
        <v>707</v>
      </c>
      <c r="AI141" s="40">
        <f>IF([2]Setup!$B$21=[2]Setup!$V$19,'[2]Country populations'!BC142,'[2]Country populations'!BN142)</f>
        <v>678</v>
      </c>
      <c r="AJ141" s="40">
        <f>IF([2]Setup!$B$21=[2]Setup!$V$19,'[2]Country populations'!BD142,'[2]Country populations'!BO142)</f>
        <v>653</v>
      </c>
    </row>
    <row r="142" spans="1:36" x14ac:dyDescent="0.25">
      <c r="A142" t="str">
        <f>'[2]Country populations'!A143</f>
        <v>Philippines</v>
      </c>
      <c r="B142" s="40">
        <f>IF([2]Setup!$B$19=[2]Setup!$T$19,'[2]Country populations'!B143,'[2]Country populations'!M143)</f>
        <v>26046</v>
      </c>
      <c r="C142" s="40">
        <f>IF([2]Setup!$B$19=[2]Setup!$T$19,'[2]Country populations'!C143,'[2]Country populations'!N143)</f>
        <v>28012</v>
      </c>
      <c r="D142" s="40">
        <f>IF([2]Setup!$B$19=[2]Setup!$T$19,'[2]Country populations'!D143,'[2]Country populations'!O143)</f>
        <v>29753</v>
      </c>
      <c r="E142" s="40">
        <f>IF([2]Setup!$B$19=[2]Setup!$T$19,'[2]Country populations'!E143,'[2]Country populations'!P143)</f>
        <v>31520</v>
      </c>
      <c r="F142" s="40">
        <f>IF([2]Setup!$B$19=[2]Setup!$T$19,'[2]Country populations'!F143,'[2]Country populations'!Q143)</f>
        <v>33351</v>
      </c>
      <c r="G142" s="40">
        <f>IF([2]Setup!$B$19=[2]Setup!$T$19,'[2]Country populations'!G143,'[2]Country populations'!R143)</f>
        <v>35248</v>
      </c>
      <c r="H142" s="40">
        <f>IF([2]Setup!$B$19=[2]Setup!$T$19,'[2]Country populations'!H143,'[2]Country populations'!S143)</f>
        <v>37142</v>
      </c>
      <c r="I142" s="40">
        <f>IF([2]Setup!$B$19=[2]Setup!$T$19,'[2]Country populations'!I143,'[2]Country populations'!T143)</f>
        <v>39029</v>
      </c>
      <c r="J142" s="40">
        <f>IF([2]Setup!$B$19=[2]Setup!$T$19,'[2]Country populations'!J143,'[2]Country populations'!U143)</f>
        <v>40905</v>
      </c>
      <c r="K142" s="40">
        <f>IF([2]Setup!$B$19=[2]Setup!$T$19,'[2]Country populations'!K143,'[2]Country populations'!V143)</f>
        <v>42768</v>
      </c>
      <c r="L142" s="40">
        <f>IF([2]Setup!$B$19=[2]Setup!$T$19,'[2]Country populations'!L143,'[2]Country populations'!W143)</f>
        <v>44618</v>
      </c>
      <c r="M142" s="40" t="str">
        <f t="shared" si="6"/>
        <v>Philippines</v>
      </c>
      <c r="N142" s="40">
        <f>IF([2]Setup!$B$20=[2]Setup!$U$19,'[2]Country populations'!X143,'[2]Country populations'!AI143)</f>
        <v>236</v>
      </c>
      <c r="O142" s="40">
        <f>IF([2]Setup!$B$20=[2]Setup!$U$19,'[2]Country populations'!Y143,'[2]Country populations'!AJ143)</f>
        <v>284</v>
      </c>
      <c r="P142" s="40">
        <f>IF([2]Setup!$B$20=[2]Setup!$U$19,'[2]Country populations'!Z143,'[2]Country populations'!AK143)</f>
        <v>325</v>
      </c>
      <c r="Q142" s="40">
        <f>IF([2]Setup!$B$20=[2]Setup!$U$19,'[2]Country populations'!AA143,'[2]Country populations'!AL143)</f>
        <v>368</v>
      </c>
      <c r="R142" s="40">
        <f>IF([2]Setup!$B$20=[2]Setup!$U$19,'[2]Country populations'!AB143,'[2]Country populations'!AM143)</f>
        <v>411</v>
      </c>
      <c r="S142" s="40">
        <f>IF([2]Setup!$B$20=[2]Setup!$U$19,'[2]Country populations'!AC143,'[2]Country populations'!AN143)</f>
        <v>456</v>
      </c>
      <c r="T142" s="40">
        <f>IF([2]Setup!$B$20=[2]Setup!$U$19,'[2]Country populations'!AD143,'[2]Country populations'!AO143)</f>
        <v>505</v>
      </c>
      <c r="U142" s="40">
        <f>IF([2]Setup!$B$20=[2]Setup!$U$19,'[2]Country populations'!AE143,'[2]Country populations'!AP143)</f>
        <v>556</v>
      </c>
      <c r="V142" s="40">
        <f>IF([2]Setup!$B$20=[2]Setup!$U$19,'[2]Country populations'!AF143,'[2]Country populations'!AQ143)</f>
        <v>604</v>
      </c>
      <c r="W142" s="40">
        <f>IF([2]Setup!$B$20=[2]Setup!$U$19,'[2]Country populations'!AG143,'[2]Country populations'!AR143)</f>
        <v>652</v>
      </c>
      <c r="X142" s="40">
        <f>IF([2]Setup!$B$20=[2]Setup!$U$19,'[2]Country populations'!AH143,'[2]Country populations'!AS143)</f>
        <v>696</v>
      </c>
      <c r="Y142" s="40" t="str">
        <f t="shared" si="7"/>
        <v>Philippines</v>
      </c>
      <c r="Z142" s="40">
        <f>IF([2]Setup!$B$21=[2]Setup!$V$19,'[2]Country populations'!AT143,'[2]Country populations'!BE143)</f>
        <v>138</v>
      </c>
      <c r="AA142" s="40">
        <f>IF([2]Setup!$B$21=[2]Setup!$V$19,'[2]Country populations'!AU143,'[2]Country populations'!BF143)</f>
        <v>144</v>
      </c>
      <c r="AB142" s="40">
        <f>IF([2]Setup!$B$21=[2]Setup!$V$19,'[2]Country populations'!AV143,'[2]Country populations'!BG143)</f>
        <v>150</v>
      </c>
      <c r="AC142" s="40">
        <f>IF([2]Setup!$B$21=[2]Setup!$V$19,'[2]Country populations'!AW143,'[2]Country populations'!BH143)</f>
        <v>157</v>
      </c>
      <c r="AD142" s="40">
        <f>IF([2]Setup!$B$21=[2]Setup!$V$19,'[2]Country populations'!AX143,'[2]Country populations'!BI143)</f>
        <v>164</v>
      </c>
      <c r="AE142" s="40">
        <f>IF([2]Setup!$B$21=[2]Setup!$V$19,'[2]Country populations'!AY143,'[2]Country populations'!BJ143)</f>
        <v>171</v>
      </c>
      <c r="AF142" s="40">
        <f>IF([2]Setup!$B$21=[2]Setup!$V$19,'[2]Country populations'!AZ143,'[2]Country populations'!BK143)</f>
        <v>178</v>
      </c>
      <c r="AG142" s="40">
        <f>IF([2]Setup!$B$21=[2]Setup!$V$19,'[2]Country populations'!BA143,'[2]Country populations'!BL143)</f>
        <v>185</v>
      </c>
      <c r="AH142" s="40">
        <f>IF([2]Setup!$B$21=[2]Setup!$V$19,'[2]Country populations'!BB143,'[2]Country populations'!BM143)</f>
        <v>190</v>
      </c>
      <c r="AI142" s="40">
        <f>IF([2]Setup!$B$21=[2]Setup!$V$19,'[2]Country populations'!BC143,'[2]Country populations'!BN143)</f>
        <v>196</v>
      </c>
      <c r="AJ142" s="40">
        <f>IF([2]Setup!$B$21=[2]Setup!$V$19,'[2]Country populations'!BD143,'[2]Country populations'!BO143)</f>
        <v>201</v>
      </c>
    </row>
    <row r="143" spans="1:36" x14ac:dyDescent="0.25">
      <c r="A143" t="str">
        <f>'[2]Country populations'!A144</f>
        <v>Poland</v>
      </c>
      <c r="B143" s="40">
        <f>IF([2]Setup!$B$19=[2]Setup!$T$19,'[2]Country populations'!B144,'[2]Country populations'!M144)</f>
        <v>33116</v>
      </c>
      <c r="C143" s="40">
        <f>IF([2]Setup!$B$19=[2]Setup!$T$19,'[2]Country populations'!C144,'[2]Country populations'!N144)</f>
        <v>34180</v>
      </c>
      <c r="D143" s="40">
        <f>IF([2]Setup!$B$19=[2]Setup!$T$19,'[2]Country populations'!D144,'[2]Country populations'!O144)</f>
        <v>35217</v>
      </c>
      <c r="E143" s="40">
        <f>IF([2]Setup!$B$19=[2]Setup!$T$19,'[2]Country populations'!E144,'[2]Country populations'!P144)</f>
        <v>36228</v>
      </c>
      <c r="F143" s="40">
        <f>IF([2]Setup!$B$19=[2]Setup!$T$19,'[2]Country populations'!F144,'[2]Country populations'!Q144)</f>
        <v>37216</v>
      </c>
      <c r="G143" s="40">
        <f>IF([2]Setup!$B$19=[2]Setup!$T$19,'[2]Country populations'!G144,'[2]Country populations'!R144)</f>
        <v>38180</v>
      </c>
      <c r="H143" s="40">
        <f>IF([2]Setup!$B$19=[2]Setup!$T$19,'[2]Country populations'!H144,'[2]Country populations'!S144)</f>
        <v>39119</v>
      </c>
      <c r="I143" s="40">
        <f>IF([2]Setup!$B$19=[2]Setup!$T$19,'[2]Country populations'!I144,'[2]Country populations'!T144)</f>
        <v>40035</v>
      </c>
      <c r="J143" s="40">
        <f>IF([2]Setup!$B$19=[2]Setup!$T$19,'[2]Country populations'!J144,'[2]Country populations'!U144)</f>
        <v>40927</v>
      </c>
      <c r="K143" s="40">
        <f>IF([2]Setup!$B$19=[2]Setup!$T$19,'[2]Country populations'!K144,'[2]Country populations'!V144)</f>
        <v>41800</v>
      </c>
      <c r="L143" s="40">
        <f>IF([2]Setup!$B$19=[2]Setup!$T$19,'[2]Country populations'!L144,'[2]Country populations'!W144)</f>
        <v>42647</v>
      </c>
      <c r="M143" s="40" t="str">
        <f t="shared" si="6"/>
        <v>Poland</v>
      </c>
      <c r="N143" s="40">
        <f>IF([2]Setup!$B$20=[2]Setup!$U$19,'[2]Country populations'!X144,'[2]Country populations'!AI144)</f>
        <v>107</v>
      </c>
      <c r="O143" s="40">
        <f>IF([2]Setup!$B$20=[2]Setup!$U$19,'[2]Country populations'!Y144,'[2]Country populations'!AJ144)</f>
        <v>118</v>
      </c>
      <c r="P143" s="40">
        <f>IF([2]Setup!$B$20=[2]Setup!$U$19,'[2]Country populations'!Z144,'[2]Country populations'!AK144)</f>
        <v>130</v>
      </c>
      <c r="Q143" s="40">
        <f>IF([2]Setup!$B$20=[2]Setup!$U$19,'[2]Country populations'!AA144,'[2]Country populations'!AL144)</f>
        <v>143</v>
      </c>
      <c r="R143" s="40">
        <f>IF([2]Setup!$B$20=[2]Setup!$U$19,'[2]Country populations'!AB144,'[2]Country populations'!AM144)</f>
        <v>157</v>
      </c>
      <c r="S143" s="40">
        <f>IF([2]Setup!$B$20=[2]Setup!$U$19,'[2]Country populations'!AC144,'[2]Country populations'!AN144)</f>
        <v>234</v>
      </c>
      <c r="T143" s="40">
        <f>IF([2]Setup!$B$20=[2]Setup!$U$19,'[2]Country populations'!AD144,'[2]Country populations'!AO144)</f>
        <v>341</v>
      </c>
      <c r="U143" s="40">
        <f>IF([2]Setup!$B$20=[2]Setup!$U$19,'[2]Country populations'!AE144,'[2]Country populations'!AP144)</f>
        <v>445</v>
      </c>
      <c r="V143" s="40">
        <f>IF([2]Setup!$B$20=[2]Setup!$U$19,'[2]Country populations'!AF144,'[2]Country populations'!AQ144)</f>
        <v>554</v>
      </c>
      <c r="W143" s="40">
        <f>IF([2]Setup!$B$20=[2]Setup!$U$19,'[2]Country populations'!AG144,'[2]Country populations'!AR144)</f>
        <v>650</v>
      </c>
      <c r="X143" s="40">
        <f>IF([2]Setup!$B$20=[2]Setup!$U$19,'[2]Country populations'!AH144,'[2]Country populations'!AS144)</f>
        <v>744</v>
      </c>
      <c r="Y143" s="40" t="str">
        <f t="shared" si="7"/>
        <v>Poland</v>
      </c>
      <c r="Z143" s="40">
        <f>IF([2]Setup!$B$21=[2]Setup!$V$19,'[2]Country populations'!AT144,'[2]Country populations'!BE144)</f>
        <v>152</v>
      </c>
      <c r="AA143" s="40">
        <f>IF([2]Setup!$B$21=[2]Setup!$V$19,'[2]Country populations'!AU144,'[2]Country populations'!BF144)</f>
        <v>155</v>
      </c>
      <c r="AB143" s="40">
        <f>IF([2]Setup!$B$21=[2]Setup!$V$19,'[2]Country populations'!AV144,'[2]Country populations'!BG144)</f>
        <v>158</v>
      </c>
      <c r="AC143" s="40">
        <f>IF([2]Setup!$B$21=[2]Setup!$V$19,'[2]Country populations'!AW144,'[2]Country populations'!BH144)</f>
        <v>161</v>
      </c>
      <c r="AD143" s="40">
        <f>IF([2]Setup!$B$21=[2]Setup!$V$19,'[2]Country populations'!AX144,'[2]Country populations'!BI144)</f>
        <v>163</v>
      </c>
      <c r="AE143" s="40">
        <f>IF([2]Setup!$B$21=[2]Setup!$V$19,'[2]Country populations'!AY144,'[2]Country populations'!BJ144)</f>
        <v>165</v>
      </c>
      <c r="AF143" s="40">
        <f>IF([2]Setup!$B$21=[2]Setup!$V$19,'[2]Country populations'!AZ144,'[2]Country populations'!BK144)</f>
        <v>165</v>
      </c>
      <c r="AG143" s="40">
        <f>IF([2]Setup!$B$21=[2]Setup!$V$19,'[2]Country populations'!BA144,'[2]Country populations'!BL144)</f>
        <v>166</v>
      </c>
      <c r="AH143" s="40">
        <f>IF([2]Setup!$B$21=[2]Setup!$V$19,'[2]Country populations'!BB144,'[2]Country populations'!BM144)</f>
        <v>167</v>
      </c>
      <c r="AI143" s="40">
        <f>IF([2]Setup!$B$21=[2]Setup!$V$19,'[2]Country populations'!BC144,'[2]Country populations'!BN144)</f>
        <v>168</v>
      </c>
      <c r="AJ143" s="40">
        <f>IF([2]Setup!$B$21=[2]Setup!$V$19,'[2]Country populations'!BD144,'[2]Country populations'!BO144)</f>
        <v>168</v>
      </c>
    </row>
    <row r="144" spans="1:36" x14ac:dyDescent="0.25">
      <c r="A144" t="str">
        <f>'[2]Country populations'!A145</f>
        <v>Polynesia</v>
      </c>
      <c r="B144" s="40">
        <f>IF([2]Setup!$B$19=[2]Setup!$T$19,'[2]Country populations'!B145,'[2]Country populations'!M145)</f>
        <v>0</v>
      </c>
      <c r="C144" s="40">
        <f>IF([2]Setup!$B$19=[2]Setup!$T$19,'[2]Country populations'!C145,'[2]Country populations'!N145)</f>
        <v>0</v>
      </c>
      <c r="D144" s="40">
        <f>IF([2]Setup!$B$19=[2]Setup!$T$19,'[2]Country populations'!D145,'[2]Country populations'!O145)</f>
        <v>0</v>
      </c>
      <c r="E144" s="40">
        <f>IF([2]Setup!$B$19=[2]Setup!$T$19,'[2]Country populations'!E145,'[2]Country populations'!P145)</f>
        <v>0</v>
      </c>
      <c r="F144" s="40">
        <f>IF([2]Setup!$B$19=[2]Setup!$T$19,'[2]Country populations'!F145,'[2]Country populations'!Q145)</f>
        <v>0</v>
      </c>
      <c r="G144" s="40">
        <f>IF([2]Setup!$B$19=[2]Setup!$T$19,'[2]Country populations'!G145,'[2]Country populations'!R145)</f>
        <v>0</v>
      </c>
      <c r="H144" s="40">
        <f>IF([2]Setup!$B$19=[2]Setup!$T$19,'[2]Country populations'!H145,'[2]Country populations'!S145)</f>
        <v>0</v>
      </c>
      <c r="I144" s="40">
        <f>IF([2]Setup!$B$19=[2]Setup!$T$19,'[2]Country populations'!I145,'[2]Country populations'!T145)</f>
        <v>0</v>
      </c>
      <c r="J144" s="40">
        <f>IF([2]Setup!$B$19=[2]Setup!$T$19,'[2]Country populations'!J145,'[2]Country populations'!U145)</f>
        <v>0</v>
      </c>
      <c r="K144" s="40">
        <f>IF([2]Setup!$B$19=[2]Setup!$T$19,'[2]Country populations'!K145,'[2]Country populations'!V145)</f>
        <v>0</v>
      </c>
      <c r="L144" s="40">
        <f>IF([2]Setup!$B$19=[2]Setup!$T$19,'[2]Country populations'!L145,'[2]Country populations'!W145)</f>
        <v>0</v>
      </c>
      <c r="M144" s="40" t="str">
        <f t="shared" si="6"/>
        <v>Polynesia</v>
      </c>
      <c r="N144" s="40">
        <f>IF([2]Setup!$B$20=[2]Setup!$U$19,'[2]Country populations'!X145,'[2]Country populations'!AI145)</f>
        <v>0</v>
      </c>
      <c r="O144" s="40">
        <f>IF([2]Setup!$B$20=[2]Setup!$U$19,'[2]Country populations'!Y145,'[2]Country populations'!AJ145)</f>
        <v>0</v>
      </c>
      <c r="P144" s="40">
        <f>IF([2]Setup!$B$20=[2]Setup!$U$19,'[2]Country populations'!Z145,'[2]Country populations'!AK145)</f>
        <v>0</v>
      </c>
      <c r="Q144" s="40">
        <f>IF([2]Setup!$B$20=[2]Setup!$U$19,'[2]Country populations'!AA145,'[2]Country populations'!AL145)</f>
        <v>0</v>
      </c>
      <c r="R144" s="40">
        <f>IF([2]Setup!$B$20=[2]Setup!$U$19,'[2]Country populations'!AB145,'[2]Country populations'!AM145)</f>
        <v>0</v>
      </c>
      <c r="S144" s="40">
        <f>IF([2]Setup!$B$20=[2]Setup!$U$19,'[2]Country populations'!AC145,'[2]Country populations'!AN145)</f>
        <v>0</v>
      </c>
      <c r="T144" s="40">
        <f>IF([2]Setup!$B$20=[2]Setup!$U$19,'[2]Country populations'!AD145,'[2]Country populations'!AO145)</f>
        <v>0</v>
      </c>
      <c r="U144" s="40">
        <f>IF([2]Setup!$B$20=[2]Setup!$U$19,'[2]Country populations'!AE145,'[2]Country populations'!AP145)</f>
        <v>0</v>
      </c>
      <c r="V144" s="40">
        <f>IF([2]Setup!$B$20=[2]Setup!$U$19,'[2]Country populations'!AF145,'[2]Country populations'!AQ145)</f>
        <v>0</v>
      </c>
      <c r="W144" s="40">
        <f>IF([2]Setup!$B$20=[2]Setup!$U$19,'[2]Country populations'!AG145,'[2]Country populations'!AR145)</f>
        <v>0</v>
      </c>
      <c r="X144" s="40">
        <f>IF([2]Setup!$B$20=[2]Setup!$U$19,'[2]Country populations'!AH145,'[2]Country populations'!AS145)</f>
        <v>0</v>
      </c>
      <c r="Y144" s="40" t="str">
        <f t="shared" si="7"/>
        <v>Polynesia</v>
      </c>
      <c r="Z144" s="40">
        <f>IF([2]Setup!$B$21=[2]Setup!$V$19,'[2]Country populations'!AT145,'[2]Country populations'!BE145)</f>
        <v>0</v>
      </c>
      <c r="AA144" s="40">
        <f>IF([2]Setup!$B$21=[2]Setup!$V$19,'[2]Country populations'!AU145,'[2]Country populations'!BF145)</f>
        <v>0</v>
      </c>
      <c r="AB144" s="40">
        <f>IF([2]Setup!$B$21=[2]Setup!$V$19,'[2]Country populations'!AV145,'[2]Country populations'!BG145)</f>
        <v>0</v>
      </c>
      <c r="AC144" s="40">
        <f>IF([2]Setup!$B$21=[2]Setup!$V$19,'[2]Country populations'!AW145,'[2]Country populations'!BH145)</f>
        <v>0</v>
      </c>
      <c r="AD144" s="40">
        <f>IF([2]Setup!$B$21=[2]Setup!$V$19,'[2]Country populations'!AX145,'[2]Country populations'!BI145)</f>
        <v>0</v>
      </c>
      <c r="AE144" s="40">
        <f>IF([2]Setup!$B$21=[2]Setup!$V$19,'[2]Country populations'!AY145,'[2]Country populations'!BJ145)</f>
        <v>0</v>
      </c>
      <c r="AF144" s="40">
        <f>IF([2]Setup!$B$21=[2]Setup!$V$19,'[2]Country populations'!AZ145,'[2]Country populations'!BK145)</f>
        <v>0</v>
      </c>
      <c r="AG144" s="40">
        <f>IF([2]Setup!$B$21=[2]Setup!$V$19,'[2]Country populations'!BA145,'[2]Country populations'!BL145)</f>
        <v>0</v>
      </c>
      <c r="AH144" s="40">
        <f>IF([2]Setup!$B$21=[2]Setup!$V$19,'[2]Country populations'!BB145,'[2]Country populations'!BM145)</f>
        <v>0</v>
      </c>
      <c r="AI144" s="40">
        <f>IF([2]Setup!$B$21=[2]Setup!$V$19,'[2]Country populations'!BC145,'[2]Country populations'!BN145)</f>
        <v>0</v>
      </c>
      <c r="AJ144" s="40">
        <f>IF([2]Setup!$B$21=[2]Setup!$V$19,'[2]Country populations'!BD145,'[2]Country populations'!BO145)</f>
        <v>0</v>
      </c>
    </row>
    <row r="145" spans="1:36" x14ac:dyDescent="0.25">
      <c r="A145" t="str">
        <f>'[2]Country populations'!A146</f>
        <v>Portugal</v>
      </c>
      <c r="B145" s="40">
        <f>IF([2]Setup!$B$19=[2]Setup!$T$19,'[2]Country populations'!B146,'[2]Country populations'!M146)</f>
        <v>44951</v>
      </c>
      <c r="C145" s="40">
        <f>IF([2]Setup!$B$19=[2]Setup!$T$19,'[2]Country populations'!C146,'[2]Country populations'!N146)</f>
        <v>45955</v>
      </c>
      <c r="D145" s="40">
        <f>IF([2]Setup!$B$19=[2]Setup!$T$19,'[2]Country populations'!D146,'[2]Country populations'!O146)</f>
        <v>46938</v>
      </c>
      <c r="E145" s="40">
        <f>IF([2]Setup!$B$19=[2]Setup!$T$19,'[2]Country populations'!E146,'[2]Country populations'!P146)</f>
        <v>47899</v>
      </c>
      <c r="F145" s="40">
        <f>IF([2]Setup!$B$19=[2]Setup!$T$19,'[2]Country populations'!F146,'[2]Country populations'!Q146)</f>
        <v>48836</v>
      </c>
      <c r="G145" s="40">
        <f>IF([2]Setup!$B$19=[2]Setup!$T$19,'[2]Country populations'!G146,'[2]Country populations'!R146)</f>
        <v>49749</v>
      </c>
      <c r="H145" s="40">
        <f>IF([2]Setup!$B$19=[2]Setup!$T$19,'[2]Country populations'!H146,'[2]Country populations'!S146)</f>
        <v>50641</v>
      </c>
      <c r="I145" s="40">
        <f>IF([2]Setup!$B$19=[2]Setup!$T$19,'[2]Country populations'!I146,'[2]Country populations'!T146)</f>
        <v>51506</v>
      </c>
      <c r="J145" s="40">
        <f>IF([2]Setup!$B$19=[2]Setup!$T$19,'[2]Country populations'!J146,'[2]Country populations'!U146)</f>
        <v>52343</v>
      </c>
      <c r="K145" s="40">
        <f>IF([2]Setup!$B$19=[2]Setup!$T$19,'[2]Country populations'!K146,'[2]Country populations'!V146)</f>
        <v>53156</v>
      </c>
      <c r="L145" s="40">
        <f>IF([2]Setup!$B$19=[2]Setup!$T$19,'[2]Country populations'!L146,'[2]Country populations'!W146)</f>
        <v>53937</v>
      </c>
      <c r="M145" s="40" t="str">
        <f t="shared" si="6"/>
        <v>Portugal</v>
      </c>
      <c r="N145" s="40">
        <f>IF([2]Setup!$B$20=[2]Setup!$U$19,'[2]Country populations'!X146,'[2]Country populations'!AI146)</f>
        <v>153</v>
      </c>
      <c r="O145" s="40">
        <f>IF([2]Setup!$B$20=[2]Setup!$U$19,'[2]Country populations'!Y146,'[2]Country populations'!AJ146)</f>
        <v>163</v>
      </c>
      <c r="P145" s="40">
        <f>IF([2]Setup!$B$20=[2]Setup!$U$19,'[2]Country populations'!Z146,'[2]Country populations'!AK146)</f>
        <v>173</v>
      </c>
      <c r="Q145" s="40">
        <f>IF([2]Setup!$B$20=[2]Setup!$U$19,'[2]Country populations'!AA146,'[2]Country populations'!AL146)</f>
        <v>181</v>
      </c>
      <c r="R145" s="40">
        <f>IF([2]Setup!$B$20=[2]Setup!$U$19,'[2]Country populations'!AB146,'[2]Country populations'!AM146)</f>
        <v>189</v>
      </c>
      <c r="S145" s="40">
        <f>IF([2]Setup!$B$20=[2]Setup!$U$19,'[2]Country populations'!AC146,'[2]Country populations'!AN146)</f>
        <v>273</v>
      </c>
      <c r="T145" s="40">
        <f>IF([2]Setup!$B$20=[2]Setup!$U$19,'[2]Country populations'!AD146,'[2]Country populations'!AO146)</f>
        <v>392</v>
      </c>
      <c r="U145" s="40">
        <f>IF([2]Setup!$B$20=[2]Setup!$U$19,'[2]Country populations'!AE146,'[2]Country populations'!AP146)</f>
        <v>507</v>
      </c>
      <c r="V145" s="40">
        <f>IF([2]Setup!$B$20=[2]Setup!$U$19,'[2]Country populations'!AF146,'[2]Country populations'!AQ146)</f>
        <v>627</v>
      </c>
      <c r="W145" s="40">
        <f>IF([2]Setup!$B$20=[2]Setup!$U$19,'[2]Country populations'!AG146,'[2]Country populations'!AR146)</f>
        <v>734</v>
      </c>
      <c r="X145" s="40">
        <f>IF([2]Setup!$B$20=[2]Setup!$U$19,'[2]Country populations'!AH146,'[2]Country populations'!AS146)</f>
        <v>842</v>
      </c>
      <c r="Y145" s="40" t="str">
        <f t="shared" si="7"/>
        <v>Portugal</v>
      </c>
      <c r="Z145" s="40">
        <f>IF([2]Setup!$B$21=[2]Setup!$V$19,'[2]Country populations'!AT146,'[2]Country populations'!BE146)</f>
        <v>217</v>
      </c>
      <c r="AA145" s="40">
        <f>IF([2]Setup!$B$21=[2]Setup!$V$19,'[2]Country populations'!AU146,'[2]Country populations'!BF146)</f>
        <v>210</v>
      </c>
      <c r="AB145" s="40">
        <f>IF([2]Setup!$B$21=[2]Setup!$V$19,'[2]Country populations'!AV146,'[2]Country populations'!BG146)</f>
        <v>203</v>
      </c>
      <c r="AC145" s="40">
        <f>IF([2]Setup!$B$21=[2]Setup!$V$19,'[2]Country populations'!AW146,'[2]Country populations'!BH146)</f>
        <v>198</v>
      </c>
      <c r="AD145" s="40">
        <f>IF([2]Setup!$B$21=[2]Setup!$V$19,'[2]Country populations'!AX146,'[2]Country populations'!BI146)</f>
        <v>194</v>
      </c>
      <c r="AE145" s="40">
        <f>IF([2]Setup!$B$21=[2]Setup!$V$19,'[2]Country populations'!AY146,'[2]Country populations'!BJ146)</f>
        <v>191</v>
      </c>
      <c r="AF145" s="40">
        <f>IF([2]Setup!$B$21=[2]Setup!$V$19,'[2]Country populations'!AZ146,'[2]Country populations'!BK146)</f>
        <v>189</v>
      </c>
      <c r="AG145" s="40">
        <f>IF([2]Setup!$B$21=[2]Setup!$V$19,'[2]Country populations'!BA146,'[2]Country populations'!BL146)</f>
        <v>188</v>
      </c>
      <c r="AH145" s="40">
        <f>IF([2]Setup!$B$21=[2]Setup!$V$19,'[2]Country populations'!BB146,'[2]Country populations'!BM146)</f>
        <v>188</v>
      </c>
      <c r="AI145" s="40">
        <f>IF([2]Setup!$B$21=[2]Setup!$V$19,'[2]Country populations'!BC146,'[2]Country populations'!BN146)</f>
        <v>189</v>
      </c>
      <c r="AJ145" s="40">
        <f>IF([2]Setup!$B$21=[2]Setup!$V$19,'[2]Country populations'!BD146,'[2]Country populations'!BO146)</f>
        <v>190</v>
      </c>
    </row>
    <row r="146" spans="1:36" x14ac:dyDescent="0.25">
      <c r="A146" t="str">
        <f>'[2]Country populations'!A147</f>
        <v>Puerto Rico</v>
      </c>
      <c r="B146" s="40">
        <f>IF([2]Setup!$B$19=[2]Setup!$T$19,'[2]Country populations'!B147,'[2]Country populations'!M147)</f>
        <v>0</v>
      </c>
      <c r="C146" s="40">
        <f>IF([2]Setup!$B$19=[2]Setup!$T$19,'[2]Country populations'!C147,'[2]Country populations'!N147)</f>
        <v>0</v>
      </c>
      <c r="D146" s="40">
        <f>IF([2]Setup!$B$19=[2]Setup!$T$19,'[2]Country populations'!D147,'[2]Country populations'!O147)</f>
        <v>0</v>
      </c>
      <c r="E146" s="40">
        <f>IF([2]Setup!$B$19=[2]Setup!$T$19,'[2]Country populations'!E147,'[2]Country populations'!P147)</f>
        <v>0</v>
      </c>
      <c r="F146" s="40">
        <f>IF([2]Setup!$B$19=[2]Setup!$T$19,'[2]Country populations'!F147,'[2]Country populations'!Q147)</f>
        <v>0</v>
      </c>
      <c r="G146" s="40">
        <f>IF([2]Setup!$B$19=[2]Setup!$T$19,'[2]Country populations'!G147,'[2]Country populations'!R147)</f>
        <v>0</v>
      </c>
      <c r="H146" s="40">
        <f>IF([2]Setup!$B$19=[2]Setup!$T$19,'[2]Country populations'!H147,'[2]Country populations'!S147)</f>
        <v>0</v>
      </c>
      <c r="I146" s="40">
        <f>IF([2]Setup!$B$19=[2]Setup!$T$19,'[2]Country populations'!I147,'[2]Country populations'!T147)</f>
        <v>0</v>
      </c>
      <c r="J146" s="40">
        <f>IF([2]Setup!$B$19=[2]Setup!$T$19,'[2]Country populations'!J147,'[2]Country populations'!U147)</f>
        <v>0</v>
      </c>
      <c r="K146" s="40">
        <f>IF([2]Setup!$B$19=[2]Setup!$T$19,'[2]Country populations'!K147,'[2]Country populations'!V147)</f>
        <v>0</v>
      </c>
      <c r="L146" s="40">
        <f>IF([2]Setup!$B$19=[2]Setup!$T$19,'[2]Country populations'!L147,'[2]Country populations'!W147)</f>
        <v>0</v>
      </c>
      <c r="M146" s="40" t="str">
        <f t="shared" si="6"/>
        <v>Puerto Rico</v>
      </c>
      <c r="N146" s="40">
        <f>IF([2]Setup!$B$20=[2]Setup!$U$19,'[2]Country populations'!X147,'[2]Country populations'!AI147)</f>
        <v>0</v>
      </c>
      <c r="O146" s="40">
        <f>IF([2]Setup!$B$20=[2]Setup!$U$19,'[2]Country populations'!Y147,'[2]Country populations'!AJ147)</f>
        <v>0</v>
      </c>
      <c r="P146" s="40">
        <f>IF([2]Setup!$B$20=[2]Setup!$U$19,'[2]Country populations'!Z147,'[2]Country populations'!AK147)</f>
        <v>0</v>
      </c>
      <c r="Q146" s="40">
        <f>IF([2]Setup!$B$20=[2]Setup!$U$19,'[2]Country populations'!AA147,'[2]Country populations'!AL147)</f>
        <v>0</v>
      </c>
      <c r="R146" s="40">
        <f>IF([2]Setup!$B$20=[2]Setup!$U$19,'[2]Country populations'!AB147,'[2]Country populations'!AM147)</f>
        <v>0</v>
      </c>
      <c r="S146" s="40">
        <f>IF([2]Setup!$B$20=[2]Setup!$U$19,'[2]Country populations'!AC147,'[2]Country populations'!AN147)</f>
        <v>0</v>
      </c>
      <c r="T146" s="40">
        <f>IF([2]Setup!$B$20=[2]Setup!$U$19,'[2]Country populations'!AD147,'[2]Country populations'!AO147)</f>
        <v>0</v>
      </c>
      <c r="U146" s="40">
        <f>IF([2]Setup!$B$20=[2]Setup!$U$19,'[2]Country populations'!AE147,'[2]Country populations'!AP147)</f>
        <v>0</v>
      </c>
      <c r="V146" s="40">
        <f>IF([2]Setup!$B$20=[2]Setup!$U$19,'[2]Country populations'!AF147,'[2]Country populations'!AQ147)</f>
        <v>0</v>
      </c>
      <c r="W146" s="40">
        <f>IF([2]Setup!$B$20=[2]Setup!$U$19,'[2]Country populations'!AG147,'[2]Country populations'!AR147)</f>
        <v>0</v>
      </c>
      <c r="X146" s="40">
        <f>IF([2]Setup!$B$20=[2]Setup!$U$19,'[2]Country populations'!AH147,'[2]Country populations'!AS147)</f>
        <v>0</v>
      </c>
      <c r="Y146" s="40" t="str">
        <f t="shared" si="7"/>
        <v>Puerto Rico</v>
      </c>
      <c r="Z146" s="40">
        <f>IF([2]Setup!$B$21=[2]Setup!$V$19,'[2]Country populations'!AT147,'[2]Country populations'!BE147)</f>
        <v>0</v>
      </c>
      <c r="AA146" s="40">
        <f>IF([2]Setup!$B$21=[2]Setup!$V$19,'[2]Country populations'!AU147,'[2]Country populations'!BF147)</f>
        <v>0</v>
      </c>
      <c r="AB146" s="40">
        <f>IF([2]Setup!$B$21=[2]Setup!$V$19,'[2]Country populations'!AV147,'[2]Country populations'!BG147)</f>
        <v>0</v>
      </c>
      <c r="AC146" s="40">
        <f>IF([2]Setup!$B$21=[2]Setup!$V$19,'[2]Country populations'!AW147,'[2]Country populations'!BH147)</f>
        <v>0</v>
      </c>
      <c r="AD146" s="40">
        <f>IF([2]Setup!$B$21=[2]Setup!$V$19,'[2]Country populations'!AX147,'[2]Country populations'!BI147)</f>
        <v>0</v>
      </c>
      <c r="AE146" s="40">
        <f>IF([2]Setup!$B$21=[2]Setup!$V$19,'[2]Country populations'!AY147,'[2]Country populations'!BJ147)</f>
        <v>0</v>
      </c>
      <c r="AF146" s="40">
        <f>IF([2]Setup!$B$21=[2]Setup!$V$19,'[2]Country populations'!AZ147,'[2]Country populations'!BK147)</f>
        <v>0</v>
      </c>
      <c r="AG146" s="40">
        <f>IF([2]Setup!$B$21=[2]Setup!$V$19,'[2]Country populations'!BA147,'[2]Country populations'!BL147)</f>
        <v>0</v>
      </c>
      <c r="AH146" s="40">
        <f>IF([2]Setup!$B$21=[2]Setup!$V$19,'[2]Country populations'!BB147,'[2]Country populations'!BM147)</f>
        <v>0</v>
      </c>
      <c r="AI146" s="40">
        <f>IF([2]Setup!$B$21=[2]Setup!$V$19,'[2]Country populations'!BC147,'[2]Country populations'!BN147)</f>
        <v>0</v>
      </c>
      <c r="AJ146" s="40">
        <f>IF([2]Setup!$B$21=[2]Setup!$V$19,'[2]Country populations'!BD147,'[2]Country populations'!BO147)</f>
        <v>0</v>
      </c>
    </row>
    <row r="147" spans="1:36" x14ac:dyDescent="0.25">
      <c r="A147" t="str">
        <f>'[2]Country populations'!A148</f>
        <v>Qatar</v>
      </c>
      <c r="B147" s="40">
        <f>IF([2]Setup!$B$19=[2]Setup!$T$19,'[2]Country populations'!B148,'[2]Country populations'!M148)</f>
        <v>0</v>
      </c>
      <c r="C147" s="40">
        <f>IF([2]Setup!$B$19=[2]Setup!$T$19,'[2]Country populations'!C148,'[2]Country populations'!N148)</f>
        <v>0</v>
      </c>
      <c r="D147" s="40">
        <f>IF([2]Setup!$B$19=[2]Setup!$T$19,'[2]Country populations'!D148,'[2]Country populations'!O148)</f>
        <v>0</v>
      </c>
      <c r="E147" s="40">
        <f>IF([2]Setup!$B$19=[2]Setup!$T$19,'[2]Country populations'!E148,'[2]Country populations'!P148)</f>
        <v>0</v>
      </c>
      <c r="F147" s="40">
        <f>IF([2]Setup!$B$19=[2]Setup!$T$19,'[2]Country populations'!F148,'[2]Country populations'!Q148)</f>
        <v>0</v>
      </c>
      <c r="G147" s="40">
        <f>IF([2]Setup!$B$19=[2]Setup!$T$19,'[2]Country populations'!G148,'[2]Country populations'!R148)</f>
        <v>0</v>
      </c>
      <c r="H147" s="40">
        <f>IF([2]Setup!$B$19=[2]Setup!$T$19,'[2]Country populations'!H148,'[2]Country populations'!S148)</f>
        <v>0</v>
      </c>
      <c r="I147" s="40">
        <f>IF([2]Setup!$B$19=[2]Setup!$T$19,'[2]Country populations'!I148,'[2]Country populations'!T148)</f>
        <v>0</v>
      </c>
      <c r="J147" s="40">
        <f>IF([2]Setup!$B$19=[2]Setup!$T$19,'[2]Country populations'!J148,'[2]Country populations'!U148)</f>
        <v>0</v>
      </c>
      <c r="K147" s="40">
        <f>IF([2]Setup!$B$19=[2]Setup!$T$19,'[2]Country populations'!K148,'[2]Country populations'!V148)</f>
        <v>0</v>
      </c>
      <c r="L147" s="40">
        <f>IF([2]Setup!$B$19=[2]Setup!$T$19,'[2]Country populations'!L148,'[2]Country populations'!W148)</f>
        <v>0</v>
      </c>
      <c r="M147" s="40" t="str">
        <f t="shared" si="6"/>
        <v>Qatar</v>
      </c>
      <c r="N147" s="40">
        <f>IF([2]Setup!$B$20=[2]Setup!$U$19,'[2]Country populations'!X148,'[2]Country populations'!AI148)</f>
        <v>0</v>
      </c>
      <c r="O147" s="40">
        <f>IF([2]Setup!$B$20=[2]Setup!$U$19,'[2]Country populations'!Y148,'[2]Country populations'!AJ148)</f>
        <v>0</v>
      </c>
      <c r="P147" s="40">
        <f>IF([2]Setup!$B$20=[2]Setup!$U$19,'[2]Country populations'!Z148,'[2]Country populations'!AK148)</f>
        <v>0</v>
      </c>
      <c r="Q147" s="40">
        <f>IF([2]Setup!$B$20=[2]Setup!$U$19,'[2]Country populations'!AA148,'[2]Country populations'!AL148)</f>
        <v>0</v>
      </c>
      <c r="R147" s="40">
        <f>IF([2]Setup!$B$20=[2]Setup!$U$19,'[2]Country populations'!AB148,'[2]Country populations'!AM148)</f>
        <v>0</v>
      </c>
      <c r="S147" s="40">
        <f>IF([2]Setup!$B$20=[2]Setup!$U$19,'[2]Country populations'!AC148,'[2]Country populations'!AN148)</f>
        <v>0</v>
      </c>
      <c r="T147" s="40">
        <f>IF([2]Setup!$B$20=[2]Setup!$U$19,'[2]Country populations'!AD148,'[2]Country populations'!AO148)</f>
        <v>0</v>
      </c>
      <c r="U147" s="40">
        <f>IF([2]Setup!$B$20=[2]Setup!$U$19,'[2]Country populations'!AE148,'[2]Country populations'!AP148)</f>
        <v>0</v>
      </c>
      <c r="V147" s="40">
        <f>IF([2]Setup!$B$20=[2]Setup!$U$19,'[2]Country populations'!AF148,'[2]Country populations'!AQ148)</f>
        <v>0</v>
      </c>
      <c r="W147" s="40">
        <f>IF([2]Setup!$B$20=[2]Setup!$U$19,'[2]Country populations'!AG148,'[2]Country populations'!AR148)</f>
        <v>0</v>
      </c>
      <c r="X147" s="40">
        <f>IF([2]Setup!$B$20=[2]Setup!$U$19,'[2]Country populations'!AH148,'[2]Country populations'!AS148)</f>
        <v>0</v>
      </c>
      <c r="Y147" s="40" t="str">
        <f t="shared" si="7"/>
        <v>Qatar</v>
      </c>
      <c r="Z147" s="40">
        <f>IF([2]Setup!$B$21=[2]Setup!$V$19,'[2]Country populations'!AT148,'[2]Country populations'!BE148)</f>
        <v>0</v>
      </c>
      <c r="AA147" s="40">
        <f>IF([2]Setup!$B$21=[2]Setup!$V$19,'[2]Country populations'!AU148,'[2]Country populations'!BF148)</f>
        <v>0</v>
      </c>
      <c r="AB147" s="40">
        <f>IF([2]Setup!$B$21=[2]Setup!$V$19,'[2]Country populations'!AV148,'[2]Country populations'!BG148)</f>
        <v>0</v>
      </c>
      <c r="AC147" s="40">
        <f>IF([2]Setup!$B$21=[2]Setup!$V$19,'[2]Country populations'!AW148,'[2]Country populations'!BH148)</f>
        <v>0</v>
      </c>
      <c r="AD147" s="40">
        <f>IF([2]Setup!$B$21=[2]Setup!$V$19,'[2]Country populations'!AX148,'[2]Country populations'!BI148)</f>
        <v>0</v>
      </c>
      <c r="AE147" s="40">
        <f>IF([2]Setup!$B$21=[2]Setup!$V$19,'[2]Country populations'!AY148,'[2]Country populations'!BJ148)</f>
        <v>0</v>
      </c>
      <c r="AF147" s="40">
        <f>IF([2]Setup!$B$21=[2]Setup!$V$19,'[2]Country populations'!AZ148,'[2]Country populations'!BK148)</f>
        <v>0</v>
      </c>
      <c r="AG147" s="40">
        <f>IF([2]Setup!$B$21=[2]Setup!$V$19,'[2]Country populations'!BA148,'[2]Country populations'!BL148)</f>
        <v>0</v>
      </c>
      <c r="AH147" s="40">
        <f>IF([2]Setup!$B$21=[2]Setup!$V$19,'[2]Country populations'!BB148,'[2]Country populations'!BM148)</f>
        <v>0</v>
      </c>
      <c r="AI147" s="40">
        <f>IF([2]Setup!$B$21=[2]Setup!$V$19,'[2]Country populations'!BC148,'[2]Country populations'!BN148)</f>
        <v>0</v>
      </c>
      <c r="AJ147" s="40">
        <f>IF([2]Setup!$B$21=[2]Setup!$V$19,'[2]Country populations'!BD148,'[2]Country populations'!BO148)</f>
        <v>0</v>
      </c>
    </row>
    <row r="148" spans="1:36" x14ac:dyDescent="0.25">
      <c r="A148" t="str">
        <f>'[2]Country populations'!A149</f>
        <v>Republic of Korea</v>
      </c>
      <c r="B148" s="40">
        <f>IF([2]Setup!$B$19=[2]Setup!$T$19,'[2]Country populations'!B149,'[2]Country populations'!M149)</f>
        <v>8025</v>
      </c>
      <c r="C148" s="40">
        <f>IF([2]Setup!$B$19=[2]Setup!$T$19,'[2]Country populations'!C149,'[2]Country populations'!N149)</f>
        <v>8217</v>
      </c>
      <c r="D148" s="40">
        <f>IF([2]Setup!$B$19=[2]Setup!$T$19,'[2]Country populations'!D149,'[2]Country populations'!O149)</f>
        <v>8329</v>
      </c>
      <c r="E148" s="40">
        <f>IF([2]Setup!$B$19=[2]Setup!$T$19,'[2]Country populations'!E149,'[2]Country populations'!P149)</f>
        <v>8374</v>
      </c>
      <c r="F148" s="40">
        <f>IF([2]Setup!$B$19=[2]Setup!$T$19,'[2]Country populations'!F149,'[2]Country populations'!Q149)</f>
        <v>8371</v>
      </c>
      <c r="G148" s="40">
        <f>IF([2]Setup!$B$19=[2]Setup!$T$19,'[2]Country populations'!G149,'[2]Country populations'!R149)</f>
        <v>8339</v>
      </c>
      <c r="H148" s="40">
        <f>IF([2]Setup!$B$19=[2]Setup!$T$19,'[2]Country populations'!H149,'[2]Country populations'!S149)</f>
        <v>8299</v>
      </c>
      <c r="I148" s="40">
        <f>IF([2]Setup!$B$19=[2]Setup!$T$19,'[2]Country populations'!I149,'[2]Country populations'!T149)</f>
        <v>8252</v>
      </c>
      <c r="J148" s="40">
        <f>IF([2]Setup!$B$19=[2]Setup!$T$19,'[2]Country populations'!J149,'[2]Country populations'!U149)</f>
        <v>8201</v>
      </c>
      <c r="K148" s="40">
        <f>IF([2]Setup!$B$19=[2]Setup!$T$19,'[2]Country populations'!K149,'[2]Country populations'!V149)</f>
        <v>8147</v>
      </c>
      <c r="L148" s="40">
        <f>IF([2]Setup!$B$19=[2]Setup!$T$19,'[2]Country populations'!L149,'[2]Country populations'!W149)</f>
        <v>8089</v>
      </c>
      <c r="M148" s="40" t="str">
        <f t="shared" si="6"/>
        <v>Republic of Korea</v>
      </c>
      <c r="N148" s="40">
        <f>IF([2]Setup!$B$20=[2]Setup!$U$19,'[2]Country populations'!X149,'[2]Country populations'!AI149)</f>
        <v>22</v>
      </c>
      <c r="O148" s="40">
        <f>IF([2]Setup!$B$20=[2]Setup!$U$19,'[2]Country populations'!Y149,'[2]Country populations'!AJ149)</f>
        <v>25</v>
      </c>
      <c r="P148" s="40">
        <f>IF([2]Setup!$B$20=[2]Setup!$U$19,'[2]Country populations'!Z149,'[2]Country populations'!AK149)</f>
        <v>27</v>
      </c>
      <c r="Q148" s="40">
        <f>IF([2]Setup!$B$20=[2]Setup!$U$19,'[2]Country populations'!AA149,'[2]Country populations'!AL149)</f>
        <v>26</v>
      </c>
      <c r="R148" s="40">
        <f>IF([2]Setup!$B$20=[2]Setup!$U$19,'[2]Country populations'!AB149,'[2]Country populations'!AM149)</f>
        <v>28</v>
      </c>
      <c r="S148" s="40">
        <f>IF([2]Setup!$B$20=[2]Setup!$U$19,'[2]Country populations'!AC149,'[2]Country populations'!AN149)</f>
        <v>51</v>
      </c>
      <c r="T148" s="40">
        <f>IF([2]Setup!$B$20=[2]Setup!$U$19,'[2]Country populations'!AD149,'[2]Country populations'!AO149)</f>
        <v>83</v>
      </c>
      <c r="U148" s="40">
        <f>IF([2]Setup!$B$20=[2]Setup!$U$19,'[2]Country populations'!AE149,'[2]Country populations'!AP149)</f>
        <v>113</v>
      </c>
      <c r="V148" s="40">
        <f>IF([2]Setup!$B$20=[2]Setup!$U$19,'[2]Country populations'!AF149,'[2]Country populations'!AQ149)</f>
        <v>143</v>
      </c>
      <c r="W148" s="40">
        <f>IF([2]Setup!$B$20=[2]Setup!$U$19,'[2]Country populations'!AG149,'[2]Country populations'!AR149)</f>
        <v>170</v>
      </c>
      <c r="X148" s="40">
        <f>IF([2]Setup!$B$20=[2]Setup!$U$19,'[2]Country populations'!AH149,'[2]Country populations'!AS149)</f>
        <v>195</v>
      </c>
      <c r="Y148" s="40" t="str">
        <f t="shared" si="7"/>
        <v>Republic of Korea</v>
      </c>
      <c r="Z148" s="40">
        <f>IF([2]Setup!$B$21=[2]Setup!$V$19,'[2]Country populations'!AT149,'[2]Country populations'!BE149)</f>
        <v>52</v>
      </c>
      <c r="AA148" s="40">
        <f>IF([2]Setup!$B$21=[2]Setup!$V$19,'[2]Country populations'!AU149,'[2]Country populations'!BF149)</f>
        <v>52</v>
      </c>
      <c r="AB148" s="40">
        <f>IF([2]Setup!$B$21=[2]Setup!$V$19,'[2]Country populations'!AV149,'[2]Country populations'!BG149)</f>
        <v>51</v>
      </c>
      <c r="AC148" s="40">
        <f>IF([2]Setup!$B$21=[2]Setup!$V$19,'[2]Country populations'!AW149,'[2]Country populations'!BH149)</f>
        <v>50</v>
      </c>
      <c r="AD148" s="40">
        <f>IF([2]Setup!$B$21=[2]Setup!$V$19,'[2]Country populations'!AX149,'[2]Country populations'!BI149)</f>
        <v>48</v>
      </c>
      <c r="AE148" s="40">
        <f>IF([2]Setup!$B$21=[2]Setup!$V$19,'[2]Country populations'!AY149,'[2]Country populations'!BJ149)</f>
        <v>46</v>
      </c>
      <c r="AF148" s="40">
        <f>IF([2]Setup!$B$21=[2]Setup!$V$19,'[2]Country populations'!AZ149,'[2]Country populations'!BK149)</f>
        <v>45</v>
      </c>
      <c r="AG148" s="40">
        <f>IF([2]Setup!$B$21=[2]Setup!$V$19,'[2]Country populations'!BA149,'[2]Country populations'!BL149)</f>
        <v>43</v>
      </c>
      <c r="AH148" s="40">
        <f>IF([2]Setup!$B$21=[2]Setup!$V$19,'[2]Country populations'!BB149,'[2]Country populations'!BM149)</f>
        <v>41</v>
      </c>
      <c r="AI148" s="40">
        <f>IF([2]Setup!$B$21=[2]Setup!$V$19,'[2]Country populations'!BC149,'[2]Country populations'!BN149)</f>
        <v>40</v>
      </c>
      <c r="AJ148" s="40">
        <f>IF([2]Setup!$B$21=[2]Setup!$V$19,'[2]Country populations'!BD149,'[2]Country populations'!BO149)</f>
        <v>38</v>
      </c>
    </row>
    <row r="149" spans="1:36" x14ac:dyDescent="0.25">
      <c r="A149" t="str">
        <f>'[2]Country populations'!A150</f>
        <v>Republic of Moldova</v>
      </c>
      <c r="B149" s="40">
        <f>IF([2]Setup!$B$19=[2]Setup!$T$19,'[2]Country populations'!B150,'[2]Country populations'!M150)</f>
        <v>14360</v>
      </c>
      <c r="C149" s="40">
        <f>IF([2]Setup!$B$19=[2]Setup!$T$19,'[2]Country populations'!C150,'[2]Country populations'!N150)</f>
        <v>14821</v>
      </c>
      <c r="D149" s="40">
        <f>IF([2]Setup!$B$19=[2]Setup!$T$19,'[2]Country populations'!D150,'[2]Country populations'!O150)</f>
        <v>15296</v>
      </c>
      <c r="E149" s="40">
        <f>IF([2]Setup!$B$19=[2]Setup!$T$19,'[2]Country populations'!E150,'[2]Country populations'!P150)</f>
        <v>15788</v>
      </c>
      <c r="F149" s="40">
        <f>IF([2]Setup!$B$19=[2]Setup!$T$19,'[2]Country populations'!F150,'[2]Country populations'!Q150)</f>
        <v>16294</v>
      </c>
      <c r="G149" s="40">
        <f>IF([2]Setup!$B$19=[2]Setup!$T$19,'[2]Country populations'!G150,'[2]Country populations'!R150)</f>
        <v>16809</v>
      </c>
      <c r="H149" s="40">
        <f>IF([2]Setup!$B$19=[2]Setup!$T$19,'[2]Country populations'!H150,'[2]Country populations'!S150)</f>
        <v>17295</v>
      </c>
      <c r="I149" s="40">
        <f>IF([2]Setup!$B$19=[2]Setup!$T$19,'[2]Country populations'!I150,'[2]Country populations'!T150)</f>
        <v>17735</v>
      </c>
      <c r="J149" s="40">
        <f>IF([2]Setup!$B$19=[2]Setup!$T$19,'[2]Country populations'!J150,'[2]Country populations'!U150)</f>
        <v>18130</v>
      </c>
      <c r="K149" s="40">
        <f>IF([2]Setup!$B$19=[2]Setup!$T$19,'[2]Country populations'!K150,'[2]Country populations'!V150)</f>
        <v>18485</v>
      </c>
      <c r="L149" s="40">
        <f>IF([2]Setup!$B$19=[2]Setup!$T$19,'[2]Country populations'!L150,'[2]Country populations'!W150)</f>
        <v>18800</v>
      </c>
      <c r="M149" s="40" t="str">
        <f t="shared" si="6"/>
        <v>Republic of Moldova</v>
      </c>
      <c r="N149" s="40">
        <f>IF([2]Setup!$B$20=[2]Setup!$U$19,'[2]Country populations'!X150,'[2]Country populations'!AI150)</f>
        <v>306</v>
      </c>
      <c r="O149" s="40">
        <f>IF([2]Setup!$B$20=[2]Setup!$U$19,'[2]Country populations'!Y150,'[2]Country populations'!AJ150)</f>
        <v>327</v>
      </c>
      <c r="P149" s="40">
        <f>IF([2]Setup!$B$20=[2]Setup!$U$19,'[2]Country populations'!Z150,'[2]Country populations'!AK150)</f>
        <v>336</v>
      </c>
      <c r="Q149" s="40">
        <f>IF([2]Setup!$B$20=[2]Setup!$U$19,'[2]Country populations'!AA150,'[2]Country populations'!AL150)</f>
        <v>337</v>
      </c>
      <c r="R149" s="40">
        <f>IF([2]Setup!$B$20=[2]Setup!$U$19,'[2]Country populations'!AB150,'[2]Country populations'!AM150)</f>
        <v>334</v>
      </c>
      <c r="S149" s="40">
        <f>IF([2]Setup!$B$20=[2]Setup!$U$19,'[2]Country populations'!AC150,'[2]Country populations'!AN150)</f>
        <v>380</v>
      </c>
      <c r="T149" s="40">
        <f>IF([2]Setup!$B$20=[2]Setup!$U$19,'[2]Country populations'!AD150,'[2]Country populations'!AO150)</f>
        <v>452</v>
      </c>
      <c r="U149" s="40">
        <f>IF([2]Setup!$B$20=[2]Setup!$U$19,'[2]Country populations'!AE150,'[2]Country populations'!AP150)</f>
        <v>519</v>
      </c>
      <c r="V149" s="40">
        <f>IF([2]Setup!$B$20=[2]Setup!$U$19,'[2]Country populations'!AF150,'[2]Country populations'!AQ150)</f>
        <v>589</v>
      </c>
      <c r="W149" s="40">
        <f>IF([2]Setup!$B$20=[2]Setup!$U$19,'[2]Country populations'!AG150,'[2]Country populations'!AR150)</f>
        <v>652</v>
      </c>
      <c r="X149" s="40">
        <f>IF([2]Setup!$B$20=[2]Setup!$U$19,'[2]Country populations'!AH150,'[2]Country populations'!AS150)</f>
        <v>709</v>
      </c>
      <c r="Y149" s="40" t="str">
        <f t="shared" si="7"/>
        <v>Republic of Moldova</v>
      </c>
      <c r="Z149" s="40">
        <f>IF([2]Setup!$B$21=[2]Setup!$V$19,'[2]Country populations'!AT150,'[2]Country populations'!BE150)</f>
        <v>145</v>
      </c>
      <c r="AA149" s="40">
        <f>IF([2]Setup!$B$21=[2]Setup!$V$19,'[2]Country populations'!AU150,'[2]Country populations'!BF150)</f>
        <v>149</v>
      </c>
      <c r="AB149" s="40">
        <f>IF([2]Setup!$B$21=[2]Setup!$V$19,'[2]Country populations'!AV150,'[2]Country populations'!BG150)</f>
        <v>151</v>
      </c>
      <c r="AC149" s="40">
        <f>IF([2]Setup!$B$21=[2]Setup!$V$19,'[2]Country populations'!AW150,'[2]Country populations'!BH150)</f>
        <v>152</v>
      </c>
      <c r="AD149" s="40">
        <f>IF([2]Setup!$B$21=[2]Setup!$V$19,'[2]Country populations'!AX150,'[2]Country populations'!BI150)</f>
        <v>154</v>
      </c>
      <c r="AE149" s="40">
        <f>IF([2]Setup!$B$21=[2]Setup!$V$19,'[2]Country populations'!AY150,'[2]Country populations'!BJ150)</f>
        <v>154</v>
      </c>
      <c r="AF149" s="40">
        <f>IF([2]Setup!$B$21=[2]Setup!$V$19,'[2]Country populations'!AZ150,'[2]Country populations'!BK150)</f>
        <v>154</v>
      </c>
      <c r="AG149" s="40">
        <f>IF([2]Setup!$B$21=[2]Setup!$V$19,'[2]Country populations'!BA150,'[2]Country populations'!BL150)</f>
        <v>152</v>
      </c>
      <c r="AH149" s="40">
        <f>IF([2]Setup!$B$21=[2]Setup!$V$19,'[2]Country populations'!BB150,'[2]Country populations'!BM150)</f>
        <v>150</v>
      </c>
      <c r="AI149" s="40">
        <f>IF([2]Setup!$B$21=[2]Setup!$V$19,'[2]Country populations'!BC150,'[2]Country populations'!BN150)</f>
        <v>147</v>
      </c>
      <c r="AJ149" s="40">
        <f>IF([2]Setup!$B$21=[2]Setup!$V$19,'[2]Country populations'!BD150,'[2]Country populations'!BO150)</f>
        <v>144</v>
      </c>
    </row>
    <row r="150" spans="1:36" x14ac:dyDescent="0.25">
      <c r="A150" t="str">
        <f>'[2]Country populations'!A151</f>
        <v>Réunion</v>
      </c>
      <c r="B150" s="40">
        <f>IF([2]Setup!$B$19=[2]Setup!$T$19,'[2]Country populations'!B151,'[2]Country populations'!M151)</f>
        <v>0</v>
      </c>
      <c r="C150" s="40">
        <f>IF([2]Setup!$B$19=[2]Setup!$T$19,'[2]Country populations'!C151,'[2]Country populations'!N151)</f>
        <v>0</v>
      </c>
      <c r="D150" s="40">
        <f>IF([2]Setup!$B$19=[2]Setup!$T$19,'[2]Country populations'!D151,'[2]Country populations'!O151)</f>
        <v>0</v>
      </c>
      <c r="E150" s="40">
        <f>IF([2]Setup!$B$19=[2]Setup!$T$19,'[2]Country populations'!E151,'[2]Country populations'!P151)</f>
        <v>0</v>
      </c>
      <c r="F150" s="40">
        <f>IF([2]Setup!$B$19=[2]Setup!$T$19,'[2]Country populations'!F151,'[2]Country populations'!Q151)</f>
        <v>0</v>
      </c>
      <c r="G150" s="40">
        <f>IF([2]Setup!$B$19=[2]Setup!$T$19,'[2]Country populations'!G151,'[2]Country populations'!R151)</f>
        <v>0</v>
      </c>
      <c r="H150" s="40">
        <f>IF([2]Setup!$B$19=[2]Setup!$T$19,'[2]Country populations'!H151,'[2]Country populations'!S151)</f>
        <v>0</v>
      </c>
      <c r="I150" s="40">
        <f>IF([2]Setup!$B$19=[2]Setup!$T$19,'[2]Country populations'!I151,'[2]Country populations'!T151)</f>
        <v>0</v>
      </c>
      <c r="J150" s="40">
        <f>IF([2]Setup!$B$19=[2]Setup!$T$19,'[2]Country populations'!J151,'[2]Country populations'!U151)</f>
        <v>0</v>
      </c>
      <c r="K150" s="40">
        <f>IF([2]Setup!$B$19=[2]Setup!$T$19,'[2]Country populations'!K151,'[2]Country populations'!V151)</f>
        <v>0</v>
      </c>
      <c r="L150" s="40">
        <f>IF([2]Setup!$B$19=[2]Setup!$T$19,'[2]Country populations'!L151,'[2]Country populations'!W151)</f>
        <v>0</v>
      </c>
      <c r="M150" s="40" t="str">
        <f t="shared" si="6"/>
        <v>Réunion</v>
      </c>
      <c r="N150" s="40">
        <f>IF([2]Setup!$B$20=[2]Setup!$U$19,'[2]Country populations'!X151,'[2]Country populations'!AI151)</f>
        <v>0</v>
      </c>
      <c r="O150" s="40">
        <f>IF([2]Setup!$B$20=[2]Setup!$U$19,'[2]Country populations'!Y151,'[2]Country populations'!AJ151)</f>
        <v>0</v>
      </c>
      <c r="P150" s="40">
        <f>IF([2]Setup!$B$20=[2]Setup!$U$19,'[2]Country populations'!Z151,'[2]Country populations'!AK151)</f>
        <v>0</v>
      </c>
      <c r="Q150" s="40">
        <f>IF([2]Setup!$B$20=[2]Setup!$U$19,'[2]Country populations'!AA151,'[2]Country populations'!AL151)</f>
        <v>0</v>
      </c>
      <c r="R150" s="40">
        <f>IF([2]Setup!$B$20=[2]Setup!$U$19,'[2]Country populations'!AB151,'[2]Country populations'!AM151)</f>
        <v>0</v>
      </c>
      <c r="S150" s="40">
        <f>IF([2]Setup!$B$20=[2]Setup!$U$19,'[2]Country populations'!AC151,'[2]Country populations'!AN151)</f>
        <v>0</v>
      </c>
      <c r="T150" s="40">
        <f>IF([2]Setup!$B$20=[2]Setup!$U$19,'[2]Country populations'!AD151,'[2]Country populations'!AO151)</f>
        <v>0</v>
      </c>
      <c r="U150" s="40">
        <f>IF([2]Setup!$B$20=[2]Setup!$U$19,'[2]Country populations'!AE151,'[2]Country populations'!AP151)</f>
        <v>0</v>
      </c>
      <c r="V150" s="40">
        <f>IF([2]Setup!$B$20=[2]Setup!$U$19,'[2]Country populations'!AF151,'[2]Country populations'!AQ151)</f>
        <v>0</v>
      </c>
      <c r="W150" s="40">
        <f>IF([2]Setup!$B$20=[2]Setup!$U$19,'[2]Country populations'!AG151,'[2]Country populations'!AR151)</f>
        <v>0</v>
      </c>
      <c r="X150" s="40">
        <f>IF([2]Setup!$B$20=[2]Setup!$U$19,'[2]Country populations'!AH151,'[2]Country populations'!AS151)</f>
        <v>0</v>
      </c>
      <c r="Y150" s="40" t="str">
        <f t="shared" si="7"/>
        <v>Réunion</v>
      </c>
      <c r="Z150" s="40">
        <f>IF([2]Setup!$B$21=[2]Setup!$V$19,'[2]Country populations'!AT151,'[2]Country populations'!BE151)</f>
        <v>0</v>
      </c>
      <c r="AA150" s="40">
        <f>IF([2]Setup!$B$21=[2]Setup!$V$19,'[2]Country populations'!AU151,'[2]Country populations'!BF151)</f>
        <v>0</v>
      </c>
      <c r="AB150" s="40">
        <f>IF([2]Setup!$B$21=[2]Setup!$V$19,'[2]Country populations'!AV151,'[2]Country populations'!BG151)</f>
        <v>0</v>
      </c>
      <c r="AC150" s="40">
        <f>IF([2]Setup!$B$21=[2]Setup!$V$19,'[2]Country populations'!AW151,'[2]Country populations'!BH151)</f>
        <v>0</v>
      </c>
      <c r="AD150" s="40">
        <f>IF([2]Setup!$B$21=[2]Setup!$V$19,'[2]Country populations'!AX151,'[2]Country populations'!BI151)</f>
        <v>0</v>
      </c>
      <c r="AE150" s="40">
        <f>IF([2]Setup!$B$21=[2]Setup!$V$19,'[2]Country populations'!AY151,'[2]Country populations'!BJ151)</f>
        <v>0</v>
      </c>
      <c r="AF150" s="40">
        <f>IF([2]Setup!$B$21=[2]Setup!$V$19,'[2]Country populations'!AZ151,'[2]Country populations'!BK151)</f>
        <v>0</v>
      </c>
      <c r="AG150" s="40">
        <f>IF([2]Setup!$B$21=[2]Setup!$V$19,'[2]Country populations'!BA151,'[2]Country populations'!BL151)</f>
        <v>0</v>
      </c>
      <c r="AH150" s="40">
        <f>IF([2]Setup!$B$21=[2]Setup!$V$19,'[2]Country populations'!BB151,'[2]Country populations'!BM151)</f>
        <v>0</v>
      </c>
      <c r="AI150" s="40">
        <f>IF([2]Setup!$B$21=[2]Setup!$V$19,'[2]Country populations'!BC151,'[2]Country populations'!BN151)</f>
        <v>0</v>
      </c>
      <c r="AJ150" s="40">
        <f>IF([2]Setup!$B$21=[2]Setup!$V$19,'[2]Country populations'!BD151,'[2]Country populations'!BO151)</f>
        <v>0</v>
      </c>
    </row>
    <row r="151" spans="1:36" x14ac:dyDescent="0.25">
      <c r="A151" t="str">
        <f>'[2]Country populations'!A152</f>
        <v>Romania</v>
      </c>
      <c r="B151" s="40">
        <f>IF([2]Setup!$B$19=[2]Setup!$T$19,'[2]Country populations'!B152,'[2]Country populations'!M152)</f>
        <v>16827</v>
      </c>
      <c r="C151" s="40">
        <f>IF([2]Setup!$B$19=[2]Setup!$T$19,'[2]Country populations'!C152,'[2]Country populations'!N152)</f>
        <v>16904</v>
      </c>
      <c r="D151" s="40">
        <f>IF([2]Setup!$B$19=[2]Setup!$T$19,'[2]Country populations'!D152,'[2]Country populations'!O152)</f>
        <v>17032</v>
      </c>
      <c r="E151" s="40">
        <f>IF([2]Setup!$B$19=[2]Setup!$T$19,'[2]Country populations'!E152,'[2]Country populations'!P152)</f>
        <v>17209</v>
      </c>
      <c r="F151" s="40">
        <f>IF([2]Setup!$B$19=[2]Setup!$T$19,'[2]Country populations'!F152,'[2]Country populations'!Q152)</f>
        <v>17425</v>
      </c>
      <c r="G151" s="40">
        <f>IF([2]Setup!$B$19=[2]Setup!$T$19,'[2]Country populations'!G152,'[2]Country populations'!R152)</f>
        <v>17680</v>
      </c>
      <c r="H151" s="40">
        <f>IF([2]Setup!$B$19=[2]Setup!$T$19,'[2]Country populations'!H152,'[2]Country populations'!S152)</f>
        <v>17908</v>
      </c>
      <c r="I151" s="40">
        <f>IF([2]Setup!$B$19=[2]Setup!$T$19,'[2]Country populations'!I152,'[2]Country populations'!T152)</f>
        <v>18090</v>
      </c>
      <c r="J151" s="40">
        <f>IF([2]Setup!$B$19=[2]Setup!$T$19,'[2]Country populations'!J152,'[2]Country populations'!U152)</f>
        <v>18223</v>
      </c>
      <c r="K151" s="40">
        <f>IF([2]Setup!$B$19=[2]Setup!$T$19,'[2]Country populations'!K152,'[2]Country populations'!V152)</f>
        <v>18336</v>
      </c>
      <c r="L151" s="40">
        <f>IF([2]Setup!$B$19=[2]Setup!$T$19,'[2]Country populations'!L152,'[2]Country populations'!W152)</f>
        <v>18432</v>
      </c>
      <c r="M151" s="40" t="str">
        <f t="shared" si="6"/>
        <v>Romania</v>
      </c>
      <c r="N151" s="40">
        <f>IF([2]Setup!$B$20=[2]Setup!$U$19,'[2]Country populations'!X152,'[2]Country populations'!AI152)</f>
        <v>431</v>
      </c>
      <c r="O151" s="40">
        <f>IF([2]Setup!$B$20=[2]Setup!$U$19,'[2]Country populations'!Y152,'[2]Country populations'!AJ152)</f>
        <v>396</v>
      </c>
      <c r="P151" s="40">
        <f>IF([2]Setup!$B$20=[2]Setup!$U$19,'[2]Country populations'!Z152,'[2]Country populations'!AK152)</f>
        <v>358</v>
      </c>
      <c r="Q151" s="40">
        <f>IF([2]Setup!$B$20=[2]Setup!$U$19,'[2]Country populations'!AA152,'[2]Country populations'!AL152)</f>
        <v>313</v>
      </c>
      <c r="R151" s="40">
        <f>IF([2]Setup!$B$20=[2]Setup!$U$19,'[2]Country populations'!AB152,'[2]Country populations'!AM152)</f>
        <v>260</v>
      </c>
      <c r="S151" s="40">
        <f>IF([2]Setup!$B$20=[2]Setup!$U$19,'[2]Country populations'!AC152,'[2]Country populations'!AN152)</f>
        <v>242</v>
      </c>
      <c r="T151" s="40">
        <f>IF([2]Setup!$B$20=[2]Setup!$U$19,'[2]Country populations'!AD152,'[2]Country populations'!AO152)</f>
        <v>255</v>
      </c>
      <c r="U151" s="40">
        <f>IF([2]Setup!$B$20=[2]Setup!$U$19,'[2]Country populations'!AE152,'[2]Country populations'!AP152)</f>
        <v>293</v>
      </c>
      <c r="V151" s="40">
        <f>IF([2]Setup!$B$20=[2]Setup!$U$19,'[2]Country populations'!AF152,'[2]Country populations'!AQ152)</f>
        <v>368</v>
      </c>
      <c r="W151" s="40">
        <f>IF([2]Setup!$B$20=[2]Setup!$U$19,'[2]Country populations'!AG152,'[2]Country populations'!AR152)</f>
        <v>438</v>
      </c>
      <c r="X151" s="40">
        <f>IF([2]Setup!$B$20=[2]Setup!$U$19,'[2]Country populations'!AH152,'[2]Country populations'!AS152)</f>
        <v>508</v>
      </c>
      <c r="Y151" s="40" t="str">
        <f t="shared" si="7"/>
        <v>Romania</v>
      </c>
      <c r="Z151" s="40">
        <f>IF([2]Setup!$B$21=[2]Setup!$V$19,'[2]Country populations'!AT152,'[2]Country populations'!BE152)</f>
        <v>131</v>
      </c>
      <c r="AA151" s="40">
        <f>IF([2]Setup!$B$21=[2]Setup!$V$19,'[2]Country populations'!AU152,'[2]Country populations'!BF152)</f>
        <v>126</v>
      </c>
      <c r="AB151" s="40">
        <f>IF([2]Setup!$B$21=[2]Setup!$V$19,'[2]Country populations'!AV152,'[2]Country populations'!BG152)</f>
        <v>123</v>
      </c>
      <c r="AC151" s="40">
        <f>IF([2]Setup!$B$21=[2]Setup!$V$19,'[2]Country populations'!AW152,'[2]Country populations'!BH152)</f>
        <v>121</v>
      </c>
      <c r="AD151" s="40">
        <f>IF([2]Setup!$B$21=[2]Setup!$V$19,'[2]Country populations'!AX152,'[2]Country populations'!BI152)</f>
        <v>120</v>
      </c>
      <c r="AE151" s="40">
        <f>IF([2]Setup!$B$21=[2]Setup!$V$19,'[2]Country populations'!AY152,'[2]Country populations'!BJ152)</f>
        <v>119</v>
      </c>
      <c r="AF151" s="40">
        <f>IF([2]Setup!$B$21=[2]Setup!$V$19,'[2]Country populations'!AZ152,'[2]Country populations'!BK152)</f>
        <v>118</v>
      </c>
      <c r="AG151" s="40">
        <f>IF([2]Setup!$B$21=[2]Setup!$V$19,'[2]Country populations'!BA152,'[2]Country populations'!BL152)</f>
        <v>117</v>
      </c>
      <c r="AH151" s="40">
        <f>IF([2]Setup!$B$21=[2]Setup!$V$19,'[2]Country populations'!BB152,'[2]Country populations'!BM152)</f>
        <v>115</v>
      </c>
      <c r="AI151" s="40">
        <f>IF([2]Setup!$B$21=[2]Setup!$V$19,'[2]Country populations'!BC152,'[2]Country populations'!BN152)</f>
        <v>113</v>
      </c>
      <c r="AJ151" s="40">
        <f>IF([2]Setup!$B$21=[2]Setup!$V$19,'[2]Country populations'!BD152,'[2]Country populations'!BO152)</f>
        <v>112</v>
      </c>
    </row>
    <row r="152" spans="1:36" x14ac:dyDescent="0.25">
      <c r="A152" t="str">
        <f>'[2]Country populations'!A153</f>
        <v>Russian Federation</v>
      </c>
      <c r="B152" s="40">
        <f>IF([2]Setup!$B$19=[2]Setup!$T$19,'[2]Country populations'!B153,'[2]Country populations'!M153)</f>
        <v>881166</v>
      </c>
      <c r="C152" s="40">
        <f>IF([2]Setup!$B$19=[2]Setup!$T$19,'[2]Country populations'!C153,'[2]Country populations'!N153)</f>
        <v>905873</v>
      </c>
      <c r="D152" s="40">
        <f>IF([2]Setup!$B$19=[2]Setup!$T$19,'[2]Country populations'!D153,'[2]Country populations'!O153)</f>
        <v>925359</v>
      </c>
      <c r="E152" s="40">
        <f>IF([2]Setup!$B$19=[2]Setup!$T$19,'[2]Country populations'!E153,'[2]Country populations'!P153)</f>
        <v>940841</v>
      </c>
      <c r="F152" s="40">
        <f>IF([2]Setup!$B$19=[2]Setup!$T$19,'[2]Country populations'!F153,'[2]Country populations'!Q153)</f>
        <v>953251</v>
      </c>
      <c r="G152" s="40">
        <f>IF([2]Setup!$B$19=[2]Setup!$T$19,'[2]Country populations'!G153,'[2]Country populations'!R153)</f>
        <v>962716</v>
      </c>
      <c r="H152" s="40">
        <f>IF([2]Setup!$B$19=[2]Setup!$T$19,'[2]Country populations'!H153,'[2]Country populations'!S153)</f>
        <v>969507</v>
      </c>
      <c r="I152" s="40">
        <f>IF([2]Setup!$B$19=[2]Setup!$T$19,'[2]Country populations'!I153,'[2]Country populations'!T153)</f>
        <v>973887</v>
      </c>
      <c r="J152" s="40">
        <f>IF([2]Setup!$B$19=[2]Setup!$T$19,'[2]Country populations'!J153,'[2]Country populations'!U153)</f>
        <v>976089</v>
      </c>
      <c r="K152" s="40">
        <f>IF([2]Setup!$B$19=[2]Setup!$T$19,'[2]Country populations'!K153,'[2]Country populations'!V153)</f>
        <v>976410</v>
      </c>
      <c r="L152" s="40">
        <f>IF([2]Setup!$B$19=[2]Setup!$T$19,'[2]Country populations'!L153,'[2]Country populations'!W153)</f>
        <v>975199</v>
      </c>
      <c r="M152" s="40" t="str">
        <f t="shared" si="6"/>
        <v>Russian Federation</v>
      </c>
      <c r="N152" s="40">
        <f>IF([2]Setup!$B$20=[2]Setup!$U$19,'[2]Country populations'!X153,'[2]Country populations'!AI153)</f>
        <v>20698</v>
      </c>
      <c r="O152" s="40">
        <f>IF([2]Setup!$B$20=[2]Setup!$U$19,'[2]Country populations'!Y153,'[2]Country populations'!AJ153)</f>
        <v>21946</v>
      </c>
      <c r="P152" s="40">
        <f>IF([2]Setup!$B$20=[2]Setup!$U$19,'[2]Country populations'!Z153,'[2]Country populations'!AK153)</f>
        <v>22845</v>
      </c>
      <c r="Q152" s="40">
        <f>IF([2]Setup!$B$20=[2]Setup!$U$19,'[2]Country populations'!AA153,'[2]Country populations'!AL153)</f>
        <v>23495</v>
      </c>
      <c r="R152" s="40">
        <f>IF([2]Setup!$B$20=[2]Setup!$U$19,'[2]Country populations'!AB153,'[2]Country populations'!AM153)</f>
        <v>23912</v>
      </c>
      <c r="S152" s="40">
        <f>IF([2]Setup!$B$20=[2]Setup!$U$19,'[2]Country populations'!AC153,'[2]Country populations'!AN153)</f>
        <v>24096</v>
      </c>
      <c r="T152" s="40">
        <f>IF([2]Setup!$B$20=[2]Setup!$U$19,'[2]Country populations'!AD153,'[2]Country populations'!AO153)</f>
        <v>24105</v>
      </c>
      <c r="U152" s="40">
        <f>IF([2]Setup!$B$20=[2]Setup!$U$19,'[2]Country populations'!AE153,'[2]Country populations'!AP153)</f>
        <v>23894</v>
      </c>
      <c r="V152" s="40">
        <f>IF([2]Setup!$B$20=[2]Setup!$U$19,'[2]Country populations'!AF153,'[2]Country populations'!AQ153)</f>
        <v>23626</v>
      </c>
      <c r="W152" s="40">
        <f>IF([2]Setup!$B$20=[2]Setup!$U$19,'[2]Country populations'!AG153,'[2]Country populations'!AR153)</f>
        <v>23287</v>
      </c>
      <c r="X152" s="40">
        <f>IF([2]Setup!$B$20=[2]Setup!$U$19,'[2]Country populations'!AH153,'[2]Country populations'!AS153)</f>
        <v>22825</v>
      </c>
      <c r="Y152" s="40" t="str">
        <f t="shared" si="7"/>
        <v>Russian Federation</v>
      </c>
      <c r="Z152" s="40">
        <f>IF([2]Setup!$B$21=[2]Setup!$V$19,'[2]Country populations'!AT153,'[2]Country populations'!BE153)</f>
        <v>8531</v>
      </c>
      <c r="AA152" s="40">
        <f>IF([2]Setup!$B$21=[2]Setup!$V$19,'[2]Country populations'!AU153,'[2]Country populations'!BF153)</f>
        <v>8470</v>
      </c>
      <c r="AB152" s="40">
        <f>IF([2]Setup!$B$21=[2]Setup!$V$19,'[2]Country populations'!AV153,'[2]Country populations'!BG153)</f>
        <v>8312</v>
      </c>
      <c r="AC152" s="40">
        <f>IF([2]Setup!$B$21=[2]Setup!$V$19,'[2]Country populations'!AW153,'[2]Country populations'!BH153)</f>
        <v>8083</v>
      </c>
      <c r="AD152" s="40">
        <f>IF([2]Setup!$B$21=[2]Setup!$V$19,'[2]Country populations'!AX153,'[2]Country populations'!BI153)</f>
        <v>7802</v>
      </c>
      <c r="AE152" s="40">
        <f>IF([2]Setup!$B$21=[2]Setup!$V$19,'[2]Country populations'!AY153,'[2]Country populations'!BJ153)</f>
        <v>7488</v>
      </c>
      <c r="AF152" s="40">
        <f>IF([2]Setup!$B$21=[2]Setup!$V$19,'[2]Country populations'!AZ153,'[2]Country populations'!BK153)</f>
        <v>7168</v>
      </c>
      <c r="AG152" s="40">
        <f>IF([2]Setup!$B$21=[2]Setup!$V$19,'[2]Country populations'!BA153,'[2]Country populations'!BL153)</f>
        <v>6868</v>
      </c>
      <c r="AH152" s="40">
        <f>IF([2]Setup!$B$21=[2]Setup!$V$19,'[2]Country populations'!BB153,'[2]Country populations'!BM153)</f>
        <v>6595</v>
      </c>
      <c r="AI152" s="40">
        <f>IF([2]Setup!$B$21=[2]Setup!$V$19,'[2]Country populations'!BC153,'[2]Country populations'!BN153)</f>
        <v>6364</v>
      </c>
      <c r="AJ152" s="40">
        <f>IF([2]Setup!$B$21=[2]Setup!$V$19,'[2]Country populations'!BD153,'[2]Country populations'!BO153)</f>
        <v>6187</v>
      </c>
    </row>
    <row r="153" spans="1:36" x14ac:dyDescent="0.25">
      <c r="A153" t="str">
        <f>'[2]Country populations'!A154</f>
        <v>Rwanda</v>
      </c>
      <c r="B153" s="40">
        <f>IF([2]Setup!$B$19=[2]Setup!$T$19,'[2]Country populations'!B154,'[2]Country populations'!M154)</f>
        <v>203010</v>
      </c>
      <c r="C153" s="40">
        <f>IF([2]Setup!$B$19=[2]Setup!$T$19,'[2]Country populations'!C154,'[2]Country populations'!N154)</f>
        <v>204017</v>
      </c>
      <c r="D153" s="40">
        <f>IF([2]Setup!$B$19=[2]Setup!$T$19,'[2]Country populations'!D154,'[2]Country populations'!O154)</f>
        <v>204971</v>
      </c>
      <c r="E153" s="40">
        <f>IF([2]Setup!$B$19=[2]Setup!$T$19,'[2]Country populations'!E154,'[2]Country populations'!P154)</f>
        <v>205847</v>
      </c>
      <c r="F153" s="40">
        <f>IF([2]Setup!$B$19=[2]Setup!$T$19,'[2]Country populations'!F154,'[2]Country populations'!Q154)</f>
        <v>206631</v>
      </c>
      <c r="G153" s="40">
        <f>IF([2]Setup!$B$19=[2]Setup!$T$19,'[2]Country populations'!G154,'[2]Country populations'!R154)</f>
        <v>207318</v>
      </c>
      <c r="H153" s="40">
        <f>IF([2]Setup!$B$19=[2]Setup!$T$19,'[2]Country populations'!H154,'[2]Country populations'!S154)</f>
        <v>208040</v>
      </c>
      <c r="I153" s="40">
        <f>IF([2]Setup!$B$19=[2]Setup!$T$19,'[2]Country populations'!I154,'[2]Country populations'!T154)</f>
        <v>208626</v>
      </c>
      <c r="J153" s="40">
        <f>IF([2]Setup!$B$19=[2]Setup!$T$19,'[2]Country populations'!J154,'[2]Country populations'!U154)</f>
        <v>209067</v>
      </c>
      <c r="K153" s="40">
        <f>IF([2]Setup!$B$19=[2]Setup!$T$19,'[2]Country populations'!K154,'[2]Country populations'!V154)</f>
        <v>209336</v>
      </c>
      <c r="L153" s="40">
        <f>IF([2]Setup!$B$19=[2]Setup!$T$19,'[2]Country populations'!L154,'[2]Country populations'!W154)</f>
        <v>209413</v>
      </c>
      <c r="M153" s="40" t="str">
        <f t="shared" si="6"/>
        <v>Rwanda</v>
      </c>
      <c r="N153" s="40">
        <f>IF([2]Setup!$B$20=[2]Setup!$U$19,'[2]Country populations'!X154,'[2]Country populations'!AI154)</f>
        <v>27389</v>
      </c>
      <c r="O153" s="40">
        <f>IF([2]Setup!$B$20=[2]Setup!$U$19,'[2]Country populations'!Y154,'[2]Country populations'!AJ154)</f>
        <v>27520</v>
      </c>
      <c r="P153" s="40">
        <f>IF([2]Setup!$B$20=[2]Setup!$U$19,'[2]Country populations'!Z154,'[2]Country populations'!AK154)</f>
        <v>27890</v>
      </c>
      <c r="Q153" s="40">
        <f>IF([2]Setup!$B$20=[2]Setup!$U$19,'[2]Country populations'!AA154,'[2]Country populations'!AL154)</f>
        <v>28659</v>
      </c>
      <c r="R153" s="40">
        <f>IF([2]Setup!$B$20=[2]Setup!$U$19,'[2]Country populations'!AB154,'[2]Country populations'!AM154)</f>
        <v>29415</v>
      </c>
      <c r="S153" s="40">
        <f>IF([2]Setup!$B$20=[2]Setup!$U$19,'[2]Country populations'!AC154,'[2]Country populations'!AN154)</f>
        <v>30540</v>
      </c>
      <c r="T153" s="40">
        <f>IF([2]Setup!$B$20=[2]Setup!$U$19,'[2]Country populations'!AD154,'[2]Country populations'!AO154)</f>
        <v>31444</v>
      </c>
      <c r="U153" s="40">
        <f>IF([2]Setup!$B$20=[2]Setup!$U$19,'[2]Country populations'!AE154,'[2]Country populations'!AP154)</f>
        <v>32036</v>
      </c>
      <c r="V153" s="40">
        <f>IF([2]Setup!$B$20=[2]Setup!$U$19,'[2]Country populations'!AF154,'[2]Country populations'!AQ154)</f>
        <v>32553</v>
      </c>
      <c r="W153" s="40">
        <f>IF([2]Setup!$B$20=[2]Setup!$U$19,'[2]Country populations'!AG154,'[2]Country populations'!AR154)</f>
        <v>32930</v>
      </c>
      <c r="X153" s="40">
        <f>IF([2]Setup!$B$20=[2]Setup!$U$19,'[2]Country populations'!AH154,'[2]Country populations'!AS154)</f>
        <v>33251</v>
      </c>
      <c r="Y153" s="40" t="str">
        <f t="shared" si="7"/>
        <v>Rwanda</v>
      </c>
      <c r="Z153" s="40">
        <f>IF([2]Setup!$B$21=[2]Setup!$V$19,'[2]Country populations'!AT154,'[2]Country populations'!BE154)</f>
        <v>11535</v>
      </c>
      <c r="AA153" s="40">
        <f>IF([2]Setup!$B$21=[2]Setup!$V$19,'[2]Country populations'!AU154,'[2]Country populations'!BF154)</f>
        <v>10978</v>
      </c>
      <c r="AB153" s="40">
        <f>IF([2]Setup!$B$21=[2]Setup!$V$19,'[2]Country populations'!AV154,'[2]Country populations'!BG154)</f>
        <v>10418</v>
      </c>
      <c r="AC153" s="40">
        <f>IF([2]Setup!$B$21=[2]Setup!$V$19,'[2]Country populations'!AW154,'[2]Country populations'!BH154)</f>
        <v>9853</v>
      </c>
      <c r="AD153" s="40">
        <f>IF([2]Setup!$B$21=[2]Setup!$V$19,'[2]Country populations'!AX154,'[2]Country populations'!BI154)</f>
        <v>9265</v>
      </c>
      <c r="AE153" s="40">
        <f>IF([2]Setup!$B$21=[2]Setup!$V$19,'[2]Country populations'!AY154,'[2]Country populations'!BJ154)</f>
        <v>8678</v>
      </c>
      <c r="AF153" s="40">
        <f>IF([2]Setup!$B$21=[2]Setup!$V$19,'[2]Country populations'!AZ154,'[2]Country populations'!BK154)</f>
        <v>8112</v>
      </c>
      <c r="AG153" s="40">
        <f>IF([2]Setup!$B$21=[2]Setup!$V$19,'[2]Country populations'!BA154,'[2]Country populations'!BL154)</f>
        <v>7575</v>
      </c>
      <c r="AH153" s="40">
        <f>IF([2]Setup!$B$21=[2]Setup!$V$19,'[2]Country populations'!BB154,'[2]Country populations'!BM154)</f>
        <v>7072</v>
      </c>
      <c r="AI153" s="40">
        <f>IF([2]Setup!$B$21=[2]Setup!$V$19,'[2]Country populations'!BC154,'[2]Country populations'!BN154)</f>
        <v>6607</v>
      </c>
      <c r="AJ153" s="40">
        <f>IF([2]Setup!$B$21=[2]Setup!$V$19,'[2]Country populations'!BD154,'[2]Country populations'!BO154)</f>
        <v>6189</v>
      </c>
    </row>
    <row r="154" spans="1:36" x14ac:dyDescent="0.25">
      <c r="A154" t="str">
        <f>'[2]Country populations'!A155</f>
        <v>Saint Kitts and Nevis</v>
      </c>
      <c r="B154" s="40">
        <f>IF([2]Setup!$B$19=[2]Setup!$T$19,'[2]Country populations'!B155,'[2]Country populations'!M155)</f>
        <v>0</v>
      </c>
      <c r="C154" s="40">
        <f>IF([2]Setup!$B$19=[2]Setup!$T$19,'[2]Country populations'!C155,'[2]Country populations'!N155)</f>
        <v>0</v>
      </c>
      <c r="D154" s="40">
        <f>IF([2]Setup!$B$19=[2]Setup!$T$19,'[2]Country populations'!D155,'[2]Country populations'!O155)</f>
        <v>0</v>
      </c>
      <c r="E154" s="40">
        <f>IF([2]Setup!$B$19=[2]Setup!$T$19,'[2]Country populations'!E155,'[2]Country populations'!P155)</f>
        <v>0</v>
      </c>
      <c r="F154" s="40">
        <f>IF([2]Setup!$B$19=[2]Setup!$T$19,'[2]Country populations'!F155,'[2]Country populations'!Q155)</f>
        <v>0</v>
      </c>
      <c r="G154" s="40">
        <f>IF([2]Setup!$B$19=[2]Setup!$T$19,'[2]Country populations'!G155,'[2]Country populations'!R155)</f>
        <v>0</v>
      </c>
      <c r="H154" s="40">
        <f>IF([2]Setup!$B$19=[2]Setup!$T$19,'[2]Country populations'!H155,'[2]Country populations'!S155)</f>
        <v>0</v>
      </c>
      <c r="I154" s="40">
        <f>IF([2]Setup!$B$19=[2]Setup!$T$19,'[2]Country populations'!I155,'[2]Country populations'!T155)</f>
        <v>0</v>
      </c>
      <c r="J154" s="40">
        <f>IF([2]Setup!$B$19=[2]Setup!$T$19,'[2]Country populations'!J155,'[2]Country populations'!U155)</f>
        <v>0</v>
      </c>
      <c r="K154" s="40">
        <f>IF([2]Setup!$B$19=[2]Setup!$T$19,'[2]Country populations'!K155,'[2]Country populations'!V155)</f>
        <v>0</v>
      </c>
      <c r="L154" s="40">
        <f>IF([2]Setup!$B$19=[2]Setup!$T$19,'[2]Country populations'!L155,'[2]Country populations'!W155)</f>
        <v>0</v>
      </c>
      <c r="M154" s="40" t="str">
        <f t="shared" si="6"/>
        <v>Saint Kitts and Nevis</v>
      </c>
      <c r="N154" s="40">
        <f>IF([2]Setup!$B$20=[2]Setup!$U$19,'[2]Country populations'!X155,'[2]Country populations'!AI155)</f>
        <v>0</v>
      </c>
      <c r="O154" s="40">
        <f>IF([2]Setup!$B$20=[2]Setup!$U$19,'[2]Country populations'!Y155,'[2]Country populations'!AJ155)</f>
        <v>0</v>
      </c>
      <c r="P154" s="40">
        <f>IF([2]Setup!$B$20=[2]Setup!$U$19,'[2]Country populations'!Z155,'[2]Country populations'!AK155)</f>
        <v>0</v>
      </c>
      <c r="Q154" s="40">
        <f>IF([2]Setup!$B$20=[2]Setup!$U$19,'[2]Country populations'!AA155,'[2]Country populations'!AL155)</f>
        <v>0</v>
      </c>
      <c r="R154" s="40">
        <f>IF([2]Setup!$B$20=[2]Setup!$U$19,'[2]Country populations'!AB155,'[2]Country populations'!AM155)</f>
        <v>0</v>
      </c>
      <c r="S154" s="40">
        <f>IF([2]Setup!$B$20=[2]Setup!$U$19,'[2]Country populations'!AC155,'[2]Country populations'!AN155)</f>
        <v>0</v>
      </c>
      <c r="T154" s="40">
        <f>IF([2]Setup!$B$20=[2]Setup!$U$19,'[2]Country populations'!AD155,'[2]Country populations'!AO155)</f>
        <v>0</v>
      </c>
      <c r="U154" s="40">
        <f>IF([2]Setup!$B$20=[2]Setup!$U$19,'[2]Country populations'!AE155,'[2]Country populations'!AP155)</f>
        <v>0</v>
      </c>
      <c r="V154" s="40">
        <f>IF([2]Setup!$B$20=[2]Setup!$U$19,'[2]Country populations'!AF155,'[2]Country populations'!AQ155)</f>
        <v>0</v>
      </c>
      <c r="W154" s="40">
        <f>IF([2]Setup!$B$20=[2]Setup!$U$19,'[2]Country populations'!AG155,'[2]Country populations'!AR155)</f>
        <v>0</v>
      </c>
      <c r="X154" s="40">
        <f>IF([2]Setup!$B$20=[2]Setup!$U$19,'[2]Country populations'!AH155,'[2]Country populations'!AS155)</f>
        <v>0</v>
      </c>
      <c r="Y154" s="40" t="str">
        <f t="shared" si="7"/>
        <v>Saint Kitts and Nevis</v>
      </c>
      <c r="Z154" s="40">
        <f>IF([2]Setup!$B$21=[2]Setup!$V$19,'[2]Country populations'!AT155,'[2]Country populations'!BE155)</f>
        <v>0</v>
      </c>
      <c r="AA154" s="40">
        <f>IF([2]Setup!$B$21=[2]Setup!$V$19,'[2]Country populations'!AU155,'[2]Country populations'!BF155)</f>
        <v>0</v>
      </c>
      <c r="AB154" s="40">
        <f>IF([2]Setup!$B$21=[2]Setup!$V$19,'[2]Country populations'!AV155,'[2]Country populations'!BG155)</f>
        <v>0</v>
      </c>
      <c r="AC154" s="40">
        <f>IF([2]Setup!$B$21=[2]Setup!$V$19,'[2]Country populations'!AW155,'[2]Country populations'!BH155)</f>
        <v>0</v>
      </c>
      <c r="AD154" s="40">
        <f>IF([2]Setup!$B$21=[2]Setup!$V$19,'[2]Country populations'!AX155,'[2]Country populations'!BI155)</f>
        <v>0</v>
      </c>
      <c r="AE154" s="40">
        <f>IF([2]Setup!$B$21=[2]Setup!$V$19,'[2]Country populations'!AY155,'[2]Country populations'!BJ155)</f>
        <v>0</v>
      </c>
      <c r="AF154" s="40">
        <f>IF([2]Setup!$B$21=[2]Setup!$V$19,'[2]Country populations'!AZ155,'[2]Country populations'!BK155)</f>
        <v>0</v>
      </c>
      <c r="AG154" s="40">
        <f>IF([2]Setup!$B$21=[2]Setup!$V$19,'[2]Country populations'!BA155,'[2]Country populations'!BL155)</f>
        <v>0</v>
      </c>
      <c r="AH154" s="40">
        <f>IF([2]Setup!$B$21=[2]Setup!$V$19,'[2]Country populations'!BB155,'[2]Country populations'!BM155)</f>
        <v>0</v>
      </c>
      <c r="AI154" s="40">
        <f>IF([2]Setup!$B$21=[2]Setup!$V$19,'[2]Country populations'!BC155,'[2]Country populations'!BN155)</f>
        <v>0</v>
      </c>
      <c r="AJ154" s="40">
        <f>IF([2]Setup!$B$21=[2]Setup!$V$19,'[2]Country populations'!BD155,'[2]Country populations'!BO155)</f>
        <v>0</v>
      </c>
    </row>
    <row r="155" spans="1:36" x14ac:dyDescent="0.25">
      <c r="A155" t="str">
        <f>'[2]Country populations'!A156</f>
        <v>Saint Lucia</v>
      </c>
      <c r="B155" s="40">
        <f>IF([2]Setup!$B$19=[2]Setup!$T$19,'[2]Country populations'!B156,'[2]Country populations'!M156)</f>
        <v>0</v>
      </c>
      <c r="C155" s="40">
        <f>IF([2]Setup!$B$19=[2]Setup!$T$19,'[2]Country populations'!C156,'[2]Country populations'!N156)</f>
        <v>0</v>
      </c>
      <c r="D155" s="40">
        <f>IF([2]Setup!$B$19=[2]Setup!$T$19,'[2]Country populations'!D156,'[2]Country populations'!O156)</f>
        <v>0</v>
      </c>
      <c r="E155" s="40">
        <f>IF([2]Setup!$B$19=[2]Setup!$T$19,'[2]Country populations'!E156,'[2]Country populations'!P156)</f>
        <v>0</v>
      </c>
      <c r="F155" s="40">
        <f>IF([2]Setup!$B$19=[2]Setup!$T$19,'[2]Country populations'!F156,'[2]Country populations'!Q156)</f>
        <v>0</v>
      </c>
      <c r="G155" s="40">
        <f>IF([2]Setup!$B$19=[2]Setup!$T$19,'[2]Country populations'!G156,'[2]Country populations'!R156)</f>
        <v>0</v>
      </c>
      <c r="H155" s="40">
        <f>IF([2]Setup!$B$19=[2]Setup!$T$19,'[2]Country populations'!H156,'[2]Country populations'!S156)</f>
        <v>0</v>
      </c>
      <c r="I155" s="40">
        <f>IF([2]Setup!$B$19=[2]Setup!$T$19,'[2]Country populations'!I156,'[2]Country populations'!T156)</f>
        <v>0</v>
      </c>
      <c r="J155" s="40">
        <f>IF([2]Setup!$B$19=[2]Setup!$T$19,'[2]Country populations'!J156,'[2]Country populations'!U156)</f>
        <v>0</v>
      </c>
      <c r="K155" s="40">
        <f>IF([2]Setup!$B$19=[2]Setup!$T$19,'[2]Country populations'!K156,'[2]Country populations'!V156)</f>
        <v>0</v>
      </c>
      <c r="L155" s="40">
        <f>IF([2]Setup!$B$19=[2]Setup!$T$19,'[2]Country populations'!L156,'[2]Country populations'!W156)</f>
        <v>0</v>
      </c>
      <c r="M155" s="40" t="str">
        <f t="shared" si="6"/>
        <v>Saint Lucia</v>
      </c>
      <c r="N155" s="40">
        <f>IF([2]Setup!$B$20=[2]Setup!$U$19,'[2]Country populations'!X156,'[2]Country populations'!AI156)</f>
        <v>0</v>
      </c>
      <c r="O155" s="40">
        <f>IF([2]Setup!$B$20=[2]Setup!$U$19,'[2]Country populations'!Y156,'[2]Country populations'!AJ156)</f>
        <v>0</v>
      </c>
      <c r="P155" s="40">
        <f>IF([2]Setup!$B$20=[2]Setup!$U$19,'[2]Country populations'!Z156,'[2]Country populations'!AK156)</f>
        <v>0</v>
      </c>
      <c r="Q155" s="40">
        <f>IF([2]Setup!$B$20=[2]Setup!$U$19,'[2]Country populations'!AA156,'[2]Country populations'!AL156)</f>
        <v>0</v>
      </c>
      <c r="R155" s="40">
        <f>IF([2]Setup!$B$20=[2]Setup!$U$19,'[2]Country populations'!AB156,'[2]Country populations'!AM156)</f>
        <v>0</v>
      </c>
      <c r="S155" s="40">
        <f>IF([2]Setup!$B$20=[2]Setup!$U$19,'[2]Country populations'!AC156,'[2]Country populations'!AN156)</f>
        <v>0</v>
      </c>
      <c r="T155" s="40">
        <f>IF([2]Setup!$B$20=[2]Setup!$U$19,'[2]Country populations'!AD156,'[2]Country populations'!AO156)</f>
        <v>0</v>
      </c>
      <c r="U155" s="40">
        <f>IF([2]Setup!$B$20=[2]Setup!$U$19,'[2]Country populations'!AE156,'[2]Country populations'!AP156)</f>
        <v>0</v>
      </c>
      <c r="V155" s="40">
        <f>IF([2]Setup!$B$20=[2]Setup!$U$19,'[2]Country populations'!AF156,'[2]Country populations'!AQ156)</f>
        <v>0</v>
      </c>
      <c r="W155" s="40">
        <f>IF([2]Setup!$B$20=[2]Setup!$U$19,'[2]Country populations'!AG156,'[2]Country populations'!AR156)</f>
        <v>0</v>
      </c>
      <c r="X155" s="40">
        <f>IF([2]Setup!$B$20=[2]Setup!$U$19,'[2]Country populations'!AH156,'[2]Country populations'!AS156)</f>
        <v>0</v>
      </c>
      <c r="Y155" s="40" t="str">
        <f t="shared" si="7"/>
        <v>Saint Lucia</v>
      </c>
      <c r="Z155" s="40">
        <f>IF([2]Setup!$B$21=[2]Setup!$V$19,'[2]Country populations'!AT156,'[2]Country populations'!BE156)</f>
        <v>0</v>
      </c>
      <c r="AA155" s="40">
        <f>IF([2]Setup!$B$21=[2]Setup!$V$19,'[2]Country populations'!AU156,'[2]Country populations'!BF156)</f>
        <v>0</v>
      </c>
      <c r="AB155" s="40">
        <f>IF([2]Setup!$B$21=[2]Setup!$V$19,'[2]Country populations'!AV156,'[2]Country populations'!BG156)</f>
        <v>0</v>
      </c>
      <c r="AC155" s="40">
        <f>IF([2]Setup!$B$21=[2]Setup!$V$19,'[2]Country populations'!AW156,'[2]Country populations'!BH156)</f>
        <v>0</v>
      </c>
      <c r="AD155" s="40">
        <f>IF([2]Setup!$B$21=[2]Setup!$V$19,'[2]Country populations'!AX156,'[2]Country populations'!BI156)</f>
        <v>0</v>
      </c>
      <c r="AE155" s="40">
        <f>IF([2]Setup!$B$21=[2]Setup!$V$19,'[2]Country populations'!AY156,'[2]Country populations'!BJ156)</f>
        <v>0</v>
      </c>
      <c r="AF155" s="40">
        <f>IF([2]Setup!$B$21=[2]Setup!$V$19,'[2]Country populations'!AZ156,'[2]Country populations'!BK156)</f>
        <v>0</v>
      </c>
      <c r="AG155" s="40">
        <f>IF([2]Setup!$B$21=[2]Setup!$V$19,'[2]Country populations'!BA156,'[2]Country populations'!BL156)</f>
        <v>0</v>
      </c>
      <c r="AH155" s="40">
        <f>IF([2]Setup!$B$21=[2]Setup!$V$19,'[2]Country populations'!BB156,'[2]Country populations'!BM156)</f>
        <v>0</v>
      </c>
      <c r="AI155" s="40">
        <f>IF([2]Setup!$B$21=[2]Setup!$V$19,'[2]Country populations'!BC156,'[2]Country populations'!BN156)</f>
        <v>0</v>
      </c>
      <c r="AJ155" s="40">
        <f>IF([2]Setup!$B$21=[2]Setup!$V$19,'[2]Country populations'!BD156,'[2]Country populations'!BO156)</f>
        <v>0</v>
      </c>
    </row>
    <row r="156" spans="1:36" x14ac:dyDescent="0.25">
      <c r="A156" t="str">
        <f>'[2]Country populations'!A157</f>
        <v>Saint Vincent and the Grenadines</v>
      </c>
      <c r="B156" s="40">
        <f>IF([2]Setup!$B$19=[2]Setup!$T$19,'[2]Country populations'!B157,'[2]Country populations'!M157)</f>
        <v>0</v>
      </c>
      <c r="C156" s="40">
        <f>IF([2]Setup!$B$19=[2]Setup!$T$19,'[2]Country populations'!C157,'[2]Country populations'!N157)</f>
        <v>0</v>
      </c>
      <c r="D156" s="40">
        <f>IF([2]Setup!$B$19=[2]Setup!$T$19,'[2]Country populations'!D157,'[2]Country populations'!O157)</f>
        <v>0</v>
      </c>
      <c r="E156" s="40">
        <f>IF([2]Setup!$B$19=[2]Setup!$T$19,'[2]Country populations'!E157,'[2]Country populations'!P157)</f>
        <v>0</v>
      </c>
      <c r="F156" s="40">
        <f>IF([2]Setup!$B$19=[2]Setup!$T$19,'[2]Country populations'!F157,'[2]Country populations'!Q157)</f>
        <v>0</v>
      </c>
      <c r="G156" s="40">
        <f>IF([2]Setup!$B$19=[2]Setup!$T$19,'[2]Country populations'!G157,'[2]Country populations'!R157)</f>
        <v>0</v>
      </c>
      <c r="H156" s="40">
        <f>IF([2]Setup!$B$19=[2]Setup!$T$19,'[2]Country populations'!H157,'[2]Country populations'!S157)</f>
        <v>0</v>
      </c>
      <c r="I156" s="40">
        <f>IF([2]Setup!$B$19=[2]Setup!$T$19,'[2]Country populations'!I157,'[2]Country populations'!T157)</f>
        <v>0</v>
      </c>
      <c r="J156" s="40">
        <f>IF([2]Setup!$B$19=[2]Setup!$T$19,'[2]Country populations'!J157,'[2]Country populations'!U157)</f>
        <v>0</v>
      </c>
      <c r="K156" s="40">
        <f>IF([2]Setup!$B$19=[2]Setup!$T$19,'[2]Country populations'!K157,'[2]Country populations'!V157)</f>
        <v>0</v>
      </c>
      <c r="L156" s="40">
        <f>IF([2]Setup!$B$19=[2]Setup!$T$19,'[2]Country populations'!L157,'[2]Country populations'!W157)</f>
        <v>0</v>
      </c>
      <c r="M156" s="40" t="str">
        <f t="shared" si="6"/>
        <v>Saint Vincent and the Grenadines</v>
      </c>
      <c r="N156" s="40">
        <f>IF([2]Setup!$B$20=[2]Setup!$U$19,'[2]Country populations'!X157,'[2]Country populations'!AI157)</f>
        <v>0</v>
      </c>
      <c r="O156" s="40">
        <f>IF([2]Setup!$B$20=[2]Setup!$U$19,'[2]Country populations'!Y157,'[2]Country populations'!AJ157)</f>
        <v>0</v>
      </c>
      <c r="P156" s="40">
        <f>IF([2]Setup!$B$20=[2]Setup!$U$19,'[2]Country populations'!Z157,'[2]Country populations'!AK157)</f>
        <v>0</v>
      </c>
      <c r="Q156" s="40">
        <f>IF([2]Setup!$B$20=[2]Setup!$U$19,'[2]Country populations'!AA157,'[2]Country populations'!AL157)</f>
        <v>0</v>
      </c>
      <c r="R156" s="40">
        <f>IF([2]Setup!$B$20=[2]Setup!$U$19,'[2]Country populations'!AB157,'[2]Country populations'!AM157)</f>
        <v>0</v>
      </c>
      <c r="S156" s="40">
        <f>IF([2]Setup!$B$20=[2]Setup!$U$19,'[2]Country populations'!AC157,'[2]Country populations'!AN157)</f>
        <v>0</v>
      </c>
      <c r="T156" s="40">
        <f>IF([2]Setup!$B$20=[2]Setup!$U$19,'[2]Country populations'!AD157,'[2]Country populations'!AO157)</f>
        <v>0</v>
      </c>
      <c r="U156" s="40">
        <f>IF([2]Setup!$B$20=[2]Setup!$U$19,'[2]Country populations'!AE157,'[2]Country populations'!AP157)</f>
        <v>0</v>
      </c>
      <c r="V156" s="40">
        <f>IF([2]Setup!$B$20=[2]Setup!$U$19,'[2]Country populations'!AF157,'[2]Country populations'!AQ157)</f>
        <v>0</v>
      </c>
      <c r="W156" s="40">
        <f>IF([2]Setup!$B$20=[2]Setup!$U$19,'[2]Country populations'!AG157,'[2]Country populations'!AR157)</f>
        <v>0</v>
      </c>
      <c r="X156" s="40">
        <f>IF([2]Setup!$B$20=[2]Setup!$U$19,'[2]Country populations'!AH157,'[2]Country populations'!AS157)</f>
        <v>0</v>
      </c>
      <c r="Y156" s="40" t="str">
        <f t="shared" si="7"/>
        <v>Saint Vincent and the Grenadines</v>
      </c>
      <c r="Z156" s="40">
        <f>IF([2]Setup!$B$21=[2]Setup!$V$19,'[2]Country populations'!AT157,'[2]Country populations'!BE157)</f>
        <v>0</v>
      </c>
      <c r="AA156" s="40">
        <f>IF([2]Setup!$B$21=[2]Setup!$V$19,'[2]Country populations'!AU157,'[2]Country populations'!BF157)</f>
        <v>0</v>
      </c>
      <c r="AB156" s="40">
        <f>IF([2]Setup!$B$21=[2]Setup!$V$19,'[2]Country populations'!AV157,'[2]Country populations'!BG157)</f>
        <v>0</v>
      </c>
      <c r="AC156" s="40">
        <f>IF([2]Setup!$B$21=[2]Setup!$V$19,'[2]Country populations'!AW157,'[2]Country populations'!BH157)</f>
        <v>0</v>
      </c>
      <c r="AD156" s="40">
        <f>IF([2]Setup!$B$21=[2]Setup!$V$19,'[2]Country populations'!AX157,'[2]Country populations'!BI157)</f>
        <v>0</v>
      </c>
      <c r="AE156" s="40">
        <f>IF([2]Setup!$B$21=[2]Setup!$V$19,'[2]Country populations'!AY157,'[2]Country populations'!BJ157)</f>
        <v>0</v>
      </c>
      <c r="AF156" s="40">
        <f>IF([2]Setup!$B$21=[2]Setup!$V$19,'[2]Country populations'!AZ157,'[2]Country populations'!BK157)</f>
        <v>0</v>
      </c>
      <c r="AG156" s="40">
        <f>IF([2]Setup!$B$21=[2]Setup!$V$19,'[2]Country populations'!BA157,'[2]Country populations'!BL157)</f>
        <v>0</v>
      </c>
      <c r="AH156" s="40">
        <f>IF([2]Setup!$B$21=[2]Setup!$V$19,'[2]Country populations'!BB157,'[2]Country populations'!BM157)</f>
        <v>0</v>
      </c>
      <c r="AI156" s="40">
        <f>IF([2]Setup!$B$21=[2]Setup!$V$19,'[2]Country populations'!BC157,'[2]Country populations'!BN157)</f>
        <v>0</v>
      </c>
      <c r="AJ156" s="40">
        <f>IF([2]Setup!$B$21=[2]Setup!$V$19,'[2]Country populations'!BD157,'[2]Country populations'!BO157)</f>
        <v>0</v>
      </c>
    </row>
    <row r="157" spans="1:36" x14ac:dyDescent="0.25">
      <c r="A157" t="str">
        <f>'[2]Country populations'!A158</f>
        <v>Samoa</v>
      </c>
      <c r="B157" s="40">
        <f>IF([2]Setup!$B$19=[2]Setup!$T$19,'[2]Country populations'!B158,'[2]Country populations'!M158)</f>
        <v>0</v>
      </c>
      <c r="C157" s="40">
        <f>IF([2]Setup!$B$19=[2]Setup!$T$19,'[2]Country populations'!C158,'[2]Country populations'!N158)</f>
        <v>0</v>
      </c>
      <c r="D157" s="40">
        <f>IF([2]Setup!$B$19=[2]Setup!$T$19,'[2]Country populations'!D158,'[2]Country populations'!O158)</f>
        <v>0</v>
      </c>
      <c r="E157" s="40">
        <f>IF([2]Setup!$B$19=[2]Setup!$T$19,'[2]Country populations'!E158,'[2]Country populations'!P158)</f>
        <v>0</v>
      </c>
      <c r="F157" s="40">
        <f>IF([2]Setup!$B$19=[2]Setup!$T$19,'[2]Country populations'!F158,'[2]Country populations'!Q158)</f>
        <v>0</v>
      </c>
      <c r="G157" s="40">
        <f>IF([2]Setup!$B$19=[2]Setup!$T$19,'[2]Country populations'!G158,'[2]Country populations'!R158)</f>
        <v>0</v>
      </c>
      <c r="H157" s="40">
        <f>IF([2]Setup!$B$19=[2]Setup!$T$19,'[2]Country populations'!H158,'[2]Country populations'!S158)</f>
        <v>0</v>
      </c>
      <c r="I157" s="40">
        <f>IF([2]Setup!$B$19=[2]Setup!$T$19,'[2]Country populations'!I158,'[2]Country populations'!T158)</f>
        <v>0</v>
      </c>
      <c r="J157" s="40">
        <f>IF([2]Setup!$B$19=[2]Setup!$T$19,'[2]Country populations'!J158,'[2]Country populations'!U158)</f>
        <v>0</v>
      </c>
      <c r="K157" s="40">
        <f>IF([2]Setup!$B$19=[2]Setup!$T$19,'[2]Country populations'!K158,'[2]Country populations'!V158)</f>
        <v>0</v>
      </c>
      <c r="L157" s="40">
        <f>IF([2]Setup!$B$19=[2]Setup!$T$19,'[2]Country populations'!L158,'[2]Country populations'!W158)</f>
        <v>0</v>
      </c>
      <c r="M157" s="40" t="str">
        <f t="shared" si="6"/>
        <v>Samoa</v>
      </c>
      <c r="N157" s="40">
        <f>IF([2]Setup!$B$20=[2]Setup!$U$19,'[2]Country populations'!X158,'[2]Country populations'!AI158)</f>
        <v>0</v>
      </c>
      <c r="O157" s="40">
        <f>IF([2]Setup!$B$20=[2]Setup!$U$19,'[2]Country populations'!Y158,'[2]Country populations'!AJ158)</f>
        <v>0</v>
      </c>
      <c r="P157" s="40">
        <f>IF([2]Setup!$B$20=[2]Setup!$U$19,'[2]Country populations'!Z158,'[2]Country populations'!AK158)</f>
        <v>0</v>
      </c>
      <c r="Q157" s="40">
        <f>IF([2]Setup!$B$20=[2]Setup!$U$19,'[2]Country populations'!AA158,'[2]Country populations'!AL158)</f>
        <v>0</v>
      </c>
      <c r="R157" s="40">
        <f>IF([2]Setup!$B$20=[2]Setup!$U$19,'[2]Country populations'!AB158,'[2]Country populations'!AM158)</f>
        <v>0</v>
      </c>
      <c r="S157" s="40">
        <f>IF([2]Setup!$B$20=[2]Setup!$U$19,'[2]Country populations'!AC158,'[2]Country populations'!AN158)</f>
        <v>0</v>
      </c>
      <c r="T157" s="40">
        <f>IF([2]Setup!$B$20=[2]Setup!$U$19,'[2]Country populations'!AD158,'[2]Country populations'!AO158)</f>
        <v>0</v>
      </c>
      <c r="U157" s="40">
        <f>IF([2]Setup!$B$20=[2]Setup!$U$19,'[2]Country populations'!AE158,'[2]Country populations'!AP158)</f>
        <v>0</v>
      </c>
      <c r="V157" s="40">
        <f>IF([2]Setup!$B$20=[2]Setup!$U$19,'[2]Country populations'!AF158,'[2]Country populations'!AQ158)</f>
        <v>0</v>
      </c>
      <c r="W157" s="40">
        <f>IF([2]Setup!$B$20=[2]Setup!$U$19,'[2]Country populations'!AG158,'[2]Country populations'!AR158)</f>
        <v>0</v>
      </c>
      <c r="X157" s="40">
        <f>IF([2]Setup!$B$20=[2]Setup!$U$19,'[2]Country populations'!AH158,'[2]Country populations'!AS158)</f>
        <v>0</v>
      </c>
      <c r="Y157" s="40" t="str">
        <f t="shared" si="7"/>
        <v>Samoa</v>
      </c>
      <c r="Z157" s="40">
        <f>IF([2]Setup!$B$21=[2]Setup!$V$19,'[2]Country populations'!AT158,'[2]Country populations'!BE158)</f>
        <v>0</v>
      </c>
      <c r="AA157" s="40">
        <f>IF([2]Setup!$B$21=[2]Setup!$V$19,'[2]Country populations'!AU158,'[2]Country populations'!BF158)</f>
        <v>0</v>
      </c>
      <c r="AB157" s="40">
        <f>IF([2]Setup!$B$21=[2]Setup!$V$19,'[2]Country populations'!AV158,'[2]Country populations'!BG158)</f>
        <v>0</v>
      </c>
      <c r="AC157" s="40">
        <f>IF([2]Setup!$B$21=[2]Setup!$V$19,'[2]Country populations'!AW158,'[2]Country populations'!BH158)</f>
        <v>0</v>
      </c>
      <c r="AD157" s="40">
        <f>IF([2]Setup!$B$21=[2]Setup!$V$19,'[2]Country populations'!AX158,'[2]Country populations'!BI158)</f>
        <v>0</v>
      </c>
      <c r="AE157" s="40">
        <f>IF([2]Setup!$B$21=[2]Setup!$V$19,'[2]Country populations'!AY158,'[2]Country populations'!BJ158)</f>
        <v>0</v>
      </c>
      <c r="AF157" s="40">
        <f>IF([2]Setup!$B$21=[2]Setup!$V$19,'[2]Country populations'!AZ158,'[2]Country populations'!BK158)</f>
        <v>0</v>
      </c>
      <c r="AG157" s="40">
        <f>IF([2]Setup!$B$21=[2]Setup!$V$19,'[2]Country populations'!BA158,'[2]Country populations'!BL158)</f>
        <v>0</v>
      </c>
      <c r="AH157" s="40">
        <f>IF([2]Setup!$B$21=[2]Setup!$V$19,'[2]Country populations'!BB158,'[2]Country populations'!BM158)</f>
        <v>0</v>
      </c>
      <c r="AI157" s="40">
        <f>IF([2]Setup!$B$21=[2]Setup!$V$19,'[2]Country populations'!BC158,'[2]Country populations'!BN158)</f>
        <v>0</v>
      </c>
      <c r="AJ157" s="40">
        <f>IF([2]Setup!$B$21=[2]Setup!$V$19,'[2]Country populations'!BD158,'[2]Country populations'!BO158)</f>
        <v>0</v>
      </c>
    </row>
    <row r="158" spans="1:36" x14ac:dyDescent="0.25">
      <c r="A158" t="str">
        <f>'[2]Country populations'!A159</f>
        <v>São Tomé and Príncipe</v>
      </c>
      <c r="B158" s="40">
        <f>IF([2]Setup!$B$19=[2]Setup!$T$19,'[2]Country populations'!B159,'[2]Country populations'!M159)</f>
        <v>917</v>
      </c>
      <c r="C158" s="40">
        <f>IF([2]Setup!$B$19=[2]Setup!$T$19,'[2]Country populations'!C159,'[2]Country populations'!N159)</f>
        <v>877</v>
      </c>
      <c r="D158" s="40">
        <f>IF([2]Setup!$B$19=[2]Setup!$T$19,'[2]Country populations'!D159,'[2]Country populations'!O159)</f>
        <v>835</v>
      </c>
      <c r="E158" s="40">
        <f>IF([2]Setup!$B$19=[2]Setup!$T$19,'[2]Country populations'!E159,'[2]Country populations'!P159)</f>
        <v>792</v>
      </c>
      <c r="F158" s="40">
        <f>IF([2]Setup!$B$19=[2]Setup!$T$19,'[2]Country populations'!F159,'[2]Country populations'!Q159)</f>
        <v>749</v>
      </c>
      <c r="G158" s="40">
        <f>IF([2]Setup!$B$19=[2]Setup!$T$19,'[2]Country populations'!G159,'[2]Country populations'!R159)</f>
        <v>707</v>
      </c>
      <c r="H158" s="40">
        <f>IF([2]Setup!$B$19=[2]Setup!$T$19,'[2]Country populations'!H159,'[2]Country populations'!S159)</f>
        <v>669</v>
      </c>
      <c r="I158" s="40">
        <f>IF([2]Setup!$B$19=[2]Setup!$T$19,'[2]Country populations'!I159,'[2]Country populations'!T159)</f>
        <v>634</v>
      </c>
      <c r="J158" s="40">
        <f>IF([2]Setup!$B$19=[2]Setup!$T$19,'[2]Country populations'!J159,'[2]Country populations'!U159)</f>
        <v>602</v>
      </c>
      <c r="K158" s="40">
        <f>IF([2]Setup!$B$19=[2]Setup!$T$19,'[2]Country populations'!K159,'[2]Country populations'!V159)</f>
        <v>574</v>
      </c>
      <c r="L158" s="40">
        <f>IF([2]Setup!$B$19=[2]Setup!$T$19,'[2]Country populations'!L159,'[2]Country populations'!W159)</f>
        <v>549</v>
      </c>
      <c r="M158" s="40" t="str">
        <f t="shared" si="6"/>
        <v>São Tomé and Príncipe</v>
      </c>
      <c r="N158" s="40">
        <f>IF([2]Setup!$B$20=[2]Setup!$U$19,'[2]Country populations'!X159,'[2]Country populations'!AI159)</f>
        <v>94</v>
      </c>
      <c r="O158" s="40">
        <f>IF([2]Setup!$B$20=[2]Setup!$U$19,'[2]Country populations'!Y159,'[2]Country populations'!AJ159)</f>
        <v>89</v>
      </c>
      <c r="P158" s="40">
        <f>IF([2]Setup!$B$20=[2]Setup!$U$19,'[2]Country populations'!Z159,'[2]Country populations'!AK159)</f>
        <v>82</v>
      </c>
      <c r="Q158" s="40">
        <f>IF([2]Setup!$B$20=[2]Setup!$U$19,'[2]Country populations'!AA159,'[2]Country populations'!AL159)</f>
        <v>75</v>
      </c>
      <c r="R158" s="40">
        <f>IF([2]Setup!$B$20=[2]Setup!$U$19,'[2]Country populations'!AB159,'[2]Country populations'!AM159)</f>
        <v>68</v>
      </c>
      <c r="S158" s="40">
        <f>IF([2]Setup!$B$20=[2]Setup!$U$19,'[2]Country populations'!AC159,'[2]Country populations'!AN159)</f>
        <v>60</v>
      </c>
      <c r="T158" s="40">
        <f>IF([2]Setup!$B$20=[2]Setup!$U$19,'[2]Country populations'!AD159,'[2]Country populations'!AO159)</f>
        <v>53</v>
      </c>
      <c r="U158" s="40">
        <f>IF([2]Setup!$B$20=[2]Setup!$U$19,'[2]Country populations'!AE159,'[2]Country populations'!AP159)</f>
        <v>47</v>
      </c>
      <c r="V158" s="40">
        <f>IF([2]Setup!$B$20=[2]Setup!$U$19,'[2]Country populations'!AF159,'[2]Country populations'!AQ159)</f>
        <v>40</v>
      </c>
      <c r="W158" s="40">
        <f>IF([2]Setup!$B$20=[2]Setup!$U$19,'[2]Country populations'!AG159,'[2]Country populations'!AR159)</f>
        <v>34</v>
      </c>
      <c r="X158" s="40">
        <f>IF([2]Setup!$B$20=[2]Setup!$U$19,'[2]Country populations'!AH159,'[2]Country populations'!AS159)</f>
        <v>29</v>
      </c>
      <c r="Y158" s="40" t="str">
        <f t="shared" si="7"/>
        <v>São Tomé and Príncipe</v>
      </c>
      <c r="Z158" s="40">
        <f>IF([2]Setup!$B$21=[2]Setup!$V$19,'[2]Country populations'!AT159,'[2]Country populations'!BE159)</f>
        <v>30</v>
      </c>
      <c r="AA158" s="40">
        <f>IF([2]Setup!$B$21=[2]Setup!$V$19,'[2]Country populations'!AU159,'[2]Country populations'!BF159)</f>
        <v>26</v>
      </c>
      <c r="AB158" s="40">
        <f>IF([2]Setup!$B$21=[2]Setup!$V$19,'[2]Country populations'!AV159,'[2]Country populations'!BG159)</f>
        <v>22</v>
      </c>
      <c r="AC158" s="40">
        <f>IF([2]Setup!$B$21=[2]Setup!$V$19,'[2]Country populations'!AW159,'[2]Country populations'!BH159)</f>
        <v>19</v>
      </c>
      <c r="AD158" s="40">
        <f>IF([2]Setup!$B$21=[2]Setup!$V$19,'[2]Country populations'!AX159,'[2]Country populations'!BI159)</f>
        <v>16</v>
      </c>
      <c r="AE158" s="40">
        <f>IF([2]Setup!$B$21=[2]Setup!$V$19,'[2]Country populations'!AY159,'[2]Country populations'!BJ159)</f>
        <v>13</v>
      </c>
      <c r="AF158" s="40">
        <f>IF([2]Setup!$B$21=[2]Setup!$V$19,'[2]Country populations'!AZ159,'[2]Country populations'!BK159)</f>
        <v>11</v>
      </c>
      <c r="AG158" s="40">
        <f>IF([2]Setup!$B$21=[2]Setup!$V$19,'[2]Country populations'!BA159,'[2]Country populations'!BL159)</f>
        <v>10</v>
      </c>
      <c r="AH158" s="40">
        <f>IF([2]Setup!$B$21=[2]Setup!$V$19,'[2]Country populations'!BB159,'[2]Country populations'!BM159)</f>
        <v>8</v>
      </c>
      <c r="AI158" s="40">
        <f>IF([2]Setup!$B$21=[2]Setup!$V$19,'[2]Country populations'!BC159,'[2]Country populations'!BN159)</f>
        <v>7</v>
      </c>
      <c r="AJ158" s="40">
        <f>IF([2]Setup!$B$21=[2]Setup!$V$19,'[2]Country populations'!BD159,'[2]Country populations'!BO159)</f>
        <v>6</v>
      </c>
    </row>
    <row r="159" spans="1:36" x14ac:dyDescent="0.25">
      <c r="A159" t="str">
        <f>'[2]Country populations'!A160</f>
        <v>Saudi Arabia</v>
      </c>
      <c r="B159" s="40">
        <f>IF([2]Setup!$B$19=[2]Setup!$T$19,'[2]Country populations'!B160,'[2]Country populations'!M160)</f>
        <v>0</v>
      </c>
      <c r="C159" s="40">
        <f>IF([2]Setup!$B$19=[2]Setup!$T$19,'[2]Country populations'!C160,'[2]Country populations'!N160)</f>
        <v>0</v>
      </c>
      <c r="D159" s="40">
        <f>IF([2]Setup!$B$19=[2]Setup!$T$19,'[2]Country populations'!D160,'[2]Country populations'!O160)</f>
        <v>0</v>
      </c>
      <c r="E159" s="40">
        <f>IF([2]Setup!$B$19=[2]Setup!$T$19,'[2]Country populations'!E160,'[2]Country populations'!P160)</f>
        <v>0</v>
      </c>
      <c r="F159" s="40">
        <f>IF([2]Setup!$B$19=[2]Setup!$T$19,'[2]Country populations'!F160,'[2]Country populations'!Q160)</f>
        <v>0</v>
      </c>
      <c r="G159" s="40">
        <f>IF([2]Setup!$B$19=[2]Setup!$T$19,'[2]Country populations'!G160,'[2]Country populations'!R160)</f>
        <v>0</v>
      </c>
      <c r="H159" s="40">
        <f>IF([2]Setup!$B$19=[2]Setup!$T$19,'[2]Country populations'!H160,'[2]Country populations'!S160)</f>
        <v>0</v>
      </c>
      <c r="I159" s="40">
        <f>IF([2]Setup!$B$19=[2]Setup!$T$19,'[2]Country populations'!I160,'[2]Country populations'!T160)</f>
        <v>0</v>
      </c>
      <c r="J159" s="40">
        <f>IF([2]Setup!$B$19=[2]Setup!$T$19,'[2]Country populations'!J160,'[2]Country populations'!U160)</f>
        <v>0</v>
      </c>
      <c r="K159" s="40">
        <f>IF([2]Setup!$B$19=[2]Setup!$T$19,'[2]Country populations'!K160,'[2]Country populations'!V160)</f>
        <v>0</v>
      </c>
      <c r="L159" s="40">
        <f>IF([2]Setup!$B$19=[2]Setup!$T$19,'[2]Country populations'!L160,'[2]Country populations'!W160)</f>
        <v>0</v>
      </c>
      <c r="M159" s="40" t="str">
        <f t="shared" si="6"/>
        <v>Saudi Arabia</v>
      </c>
      <c r="N159" s="40">
        <f>IF([2]Setup!$B$20=[2]Setup!$U$19,'[2]Country populations'!X160,'[2]Country populations'!AI160)</f>
        <v>0</v>
      </c>
      <c r="O159" s="40">
        <f>IF([2]Setup!$B$20=[2]Setup!$U$19,'[2]Country populations'!Y160,'[2]Country populations'!AJ160)</f>
        <v>0</v>
      </c>
      <c r="P159" s="40">
        <f>IF([2]Setup!$B$20=[2]Setup!$U$19,'[2]Country populations'!Z160,'[2]Country populations'!AK160)</f>
        <v>0</v>
      </c>
      <c r="Q159" s="40">
        <f>IF([2]Setup!$B$20=[2]Setup!$U$19,'[2]Country populations'!AA160,'[2]Country populations'!AL160)</f>
        <v>0</v>
      </c>
      <c r="R159" s="40">
        <f>IF([2]Setup!$B$20=[2]Setup!$U$19,'[2]Country populations'!AB160,'[2]Country populations'!AM160)</f>
        <v>0</v>
      </c>
      <c r="S159" s="40">
        <f>IF([2]Setup!$B$20=[2]Setup!$U$19,'[2]Country populations'!AC160,'[2]Country populations'!AN160)</f>
        <v>0</v>
      </c>
      <c r="T159" s="40">
        <f>IF([2]Setup!$B$20=[2]Setup!$U$19,'[2]Country populations'!AD160,'[2]Country populations'!AO160)</f>
        <v>0</v>
      </c>
      <c r="U159" s="40">
        <f>IF([2]Setup!$B$20=[2]Setup!$U$19,'[2]Country populations'!AE160,'[2]Country populations'!AP160)</f>
        <v>0</v>
      </c>
      <c r="V159" s="40">
        <f>IF([2]Setup!$B$20=[2]Setup!$U$19,'[2]Country populations'!AF160,'[2]Country populations'!AQ160)</f>
        <v>0</v>
      </c>
      <c r="W159" s="40">
        <f>IF([2]Setup!$B$20=[2]Setup!$U$19,'[2]Country populations'!AG160,'[2]Country populations'!AR160)</f>
        <v>0</v>
      </c>
      <c r="X159" s="40">
        <f>IF([2]Setup!$B$20=[2]Setup!$U$19,'[2]Country populations'!AH160,'[2]Country populations'!AS160)</f>
        <v>0</v>
      </c>
      <c r="Y159" s="40" t="str">
        <f t="shared" si="7"/>
        <v>Saudi Arabia</v>
      </c>
      <c r="Z159" s="40">
        <f>IF([2]Setup!$B$21=[2]Setup!$V$19,'[2]Country populations'!AT160,'[2]Country populations'!BE160)</f>
        <v>0</v>
      </c>
      <c r="AA159" s="40">
        <f>IF([2]Setup!$B$21=[2]Setup!$V$19,'[2]Country populations'!AU160,'[2]Country populations'!BF160)</f>
        <v>0</v>
      </c>
      <c r="AB159" s="40">
        <f>IF([2]Setup!$B$21=[2]Setup!$V$19,'[2]Country populations'!AV160,'[2]Country populations'!BG160)</f>
        <v>0</v>
      </c>
      <c r="AC159" s="40">
        <f>IF([2]Setup!$B$21=[2]Setup!$V$19,'[2]Country populations'!AW160,'[2]Country populations'!BH160)</f>
        <v>0</v>
      </c>
      <c r="AD159" s="40">
        <f>IF([2]Setup!$B$21=[2]Setup!$V$19,'[2]Country populations'!AX160,'[2]Country populations'!BI160)</f>
        <v>0</v>
      </c>
      <c r="AE159" s="40">
        <f>IF([2]Setup!$B$21=[2]Setup!$V$19,'[2]Country populations'!AY160,'[2]Country populations'!BJ160)</f>
        <v>0</v>
      </c>
      <c r="AF159" s="40">
        <f>IF([2]Setup!$B$21=[2]Setup!$V$19,'[2]Country populations'!AZ160,'[2]Country populations'!BK160)</f>
        <v>0</v>
      </c>
      <c r="AG159" s="40">
        <f>IF([2]Setup!$B$21=[2]Setup!$V$19,'[2]Country populations'!BA160,'[2]Country populations'!BL160)</f>
        <v>0</v>
      </c>
      <c r="AH159" s="40">
        <f>IF([2]Setup!$B$21=[2]Setup!$V$19,'[2]Country populations'!BB160,'[2]Country populations'!BM160)</f>
        <v>0</v>
      </c>
      <c r="AI159" s="40">
        <f>IF([2]Setup!$B$21=[2]Setup!$V$19,'[2]Country populations'!BC160,'[2]Country populations'!BN160)</f>
        <v>0</v>
      </c>
      <c r="AJ159" s="40">
        <f>IF([2]Setup!$B$21=[2]Setup!$V$19,'[2]Country populations'!BD160,'[2]Country populations'!BO160)</f>
        <v>0</v>
      </c>
    </row>
    <row r="160" spans="1:36" x14ac:dyDescent="0.25">
      <c r="A160" t="str">
        <f>'[2]Country populations'!A161</f>
        <v>Senegal</v>
      </c>
      <c r="B160" s="40">
        <f>IF([2]Setup!$B$19=[2]Setup!$T$19,'[2]Country populations'!B161,'[2]Country populations'!M161)</f>
        <v>38821</v>
      </c>
      <c r="C160" s="40">
        <f>IF([2]Setup!$B$19=[2]Setup!$T$19,'[2]Country populations'!C161,'[2]Country populations'!N161)</f>
        <v>38544</v>
      </c>
      <c r="D160" s="40">
        <f>IF([2]Setup!$B$19=[2]Setup!$T$19,'[2]Country populations'!D161,'[2]Country populations'!O161)</f>
        <v>38629</v>
      </c>
      <c r="E160" s="40">
        <f>IF([2]Setup!$B$19=[2]Setup!$T$19,'[2]Country populations'!E161,'[2]Country populations'!P161)</f>
        <v>38614</v>
      </c>
      <c r="F160" s="40">
        <f>IF([2]Setup!$B$19=[2]Setup!$T$19,'[2]Country populations'!F161,'[2]Country populations'!Q161)</f>
        <v>38214</v>
      </c>
      <c r="G160" s="40">
        <f>IF([2]Setup!$B$19=[2]Setup!$T$19,'[2]Country populations'!G161,'[2]Country populations'!R161)</f>
        <v>37549</v>
      </c>
      <c r="H160" s="40">
        <f>IF([2]Setup!$B$19=[2]Setup!$T$19,'[2]Country populations'!H161,'[2]Country populations'!S161)</f>
        <v>36768</v>
      </c>
      <c r="I160" s="40">
        <f>IF([2]Setup!$B$19=[2]Setup!$T$19,'[2]Country populations'!I161,'[2]Country populations'!T161)</f>
        <v>35965</v>
      </c>
      <c r="J160" s="40">
        <f>IF([2]Setup!$B$19=[2]Setup!$T$19,'[2]Country populations'!J161,'[2]Country populations'!U161)</f>
        <v>35145</v>
      </c>
      <c r="K160" s="40">
        <f>IF([2]Setup!$B$19=[2]Setup!$T$19,'[2]Country populations'!K161,'[2]Country populations'!V161)</f>
        <v>34315</v>
      </c>
      <c r="L160" s="40">
        <f>IF([2]Setup!$B$19=[2]Setup!$T$19,'[2]Country populations'!L161,'[2]Country populations'!W161)</f>
        <v>33533</v>
      </c>
      <c r="M160" s="40" t="str">
        <f t="shared" si="6"/>
        <v>Senegal</v>
      </c>
      <c r="N160" s="40">
        <f>IF([2]Setup!$B$20=[2]Setup!$U$19,'[2]Country populations'!X161,'[2]Country populations'!AI161)</f>
        <v>5157</v>
      </c>
      <c r="O160" s="40">
        <f>IF([2]Setup!$B$20=[2]Setup!$U$19,'[2]Country populations'!Y161,'[2]Country populations'!AJ161)</f>
        <v>5047</v>
      </c>
      <c r="P160" s="40">
        <f>IF([2]Setup!$B$20=[2]Setup!$U$19,'[2]Country populations'!Z161,'[2]Country populations'!AK161)</f>
        <v>4972</v>
      </c>
      <c r="Q160" s="40">
        <f>IF([2]Setup!$B$20=[2]Setup!$U$19,'[2]Country populations'!AA161,'[2]Country populations'!AL161)</f>
        <v>4872</v>
      </c>
      <c r="R160" s="40">
        <f>IF([2]Setup!$B$20=[2]Setup!$U$19,'[2]Country populations'!AB161,'[2]Country populations'!AM161)</f>
        <v>4702</v>
      </c>
      <c r="S160" s="40">
        <f>IF([2]Setup!$B$20=[2]Setup!$U$19,'[2]Country populations'!AC161,'[2]Country populations'!AN161)</f>
        <v>4479</v>
      </c>
      <c r="T160" s="40">
        <f>IF([2]Setup!$B$20=[2]Setup!$U$19,'[2]Country populations'!AD161,'[2]Country populations'!AO161)</f>
        <v>4196</v>
      </c>
      <c r="U160" s="40">
        <f>IF([2]Setup!$B$20=[2]Setup!$U$19,'[2]Country populations'!AE161,'[2]Country populations'!AP161)</f>
        <v>3833</v>
      </c>
      <c r="V160" s="40">
        <f>IF([2]Setup!$B$20=[2]Setup!$U$19,'[2]Country populations'!AF161,'[2]Country populations'!AQ161)</f>
        <v>3455</v>
      </c>
      <c r="W160" s="40">
        <f>IF([2]Setup!$B$20=[2]Setup!$U$19,'[2]Country populations'!AG161,'[2]Country populations'!AR161)</f>
        <v>3108</v>
      </c>
      <c r="X160" s="40">
        <f>IF([2]Setup!$B$20=[2]Setup!$U$19,'[2]Country populations'!AH161,'[2]Country populations'!AS161)</f>
        <v>2770</v>
      </c>
      <c r="Y160" s="40" t="str">
        <f t="shared" si="7"/>
        <v>Senegal</v>
      </c>
      <c r="Z160" s="40">
        <f>IF([2]Setup!$B$21=[2]Setup!$V$19,'[2]Country populations'!AT161,'[2]Country populations'!BE161)</f>
        <v>2294</v>
      </c>
      <c r="AA160" s="40">
        <f>IF([2]Setup!$B$21=[2]Setup!$V$19,'[2]Country populations'!AU161,'[2]Country populations'!BF161)</f>
        <v>2205</v>
      </c>
      <c r="AB160" s="40">
        <f>IF([2]Setup!$B$21=[2]Setup!$V$19,'[2]Country populations'!AV161,'[2]Country populations'!BG161)</f>
        <v>2130</v>
      </c>
      <c r="AC160" s="40">
        <f>IF([2]Setup!$B$21=[2]Setup!$V$19,'[2]Country populations'!AW161,'[2]Country populations'!BH161)</f>
        <v>2024</v>
      </c>
      <c r="AD160" s="40">
        <f>IF([2]Setup!$B$21=[2]Setup!$V$19,'[2]Country populations'!AX161,'[2]Country populations'!BI161)</f>
        <v>1865</v>
      </c>
      <c r="AE160" s="40">
        <f>IF([2]Setup!$B$21=[2]Setup!$V$19,'[2]Country populations'!AY161,'[2]Country populations'!BJ161)</f>
        <v>1702</v>
      </c>
      <c r="AF160" s="40">
        <f>IF([2]Setup!$B$21=[2]Setup!$V$19,'[2]Country populations'!AZ161,'[2]Country populations'!BK161)</f>
        <v>1543</v>
      </c>
      <c r="AG160" s="40">
        <f>IF([2]Setup!$B$21=[2]Setup!$V$19,'[2]Country populations'!BA161,'[2]Country populations'!BL161)</f>
        <v>1398</v>
      </c>
      <c r="AH160" s="40">
        <f>IF([2]Setup!$B$21=[2]Setup!$V$19,'[2]Country populations'!BB161,'[2]Country populations'!BM161)</f>
        <v>1265</v>
      </c>
      <c r="AI160" s="40">
        <f>IF([2]Setup!$B$21=[2]Setup!$V$19,'[2]Country populations'!BC161,'[2]Country populations'!BN161)</f>
        <v>1145</v>
      </c>
      <c r="AJ160" s="40">
        <f>IF([2]Setup!$B$21=[2]Setup!$V$19,'[2]Country populations'!BD161,'[2]Country populations'!BO161)</f>
        <v>1040</v>
      </c>
    </row>
    <row r="161" spans="1:36" x14ac:dyDescent="0.25">
      <c r="A161" t="str">
        <f>'[2]Country populations'!A162</f>
        <v>Serbia</v>
      </c>
      <c r="B161" s="40">
        <f>IF([2]Setup!$B$19=[2]Setup!$T$19,'[2]Country populations'!B162,'[2]Country populations'!M162)</f>
        <v>3241</v>
      </c>
      <c r="C161" s="40">
        <f>IF([2]Setup!$B$19=[2]Setup!$T$19,'[2]Country populations'!C162,'[2]Country populations'!N162)</f>
        <v>3254</v>
      </c>
      <c r="D161" s="40">
        <f>IF([2]Setup!$B$19=[2]Setup!$T$19,'[2]Country populations'!D162,'[2]Country populations'!O162)</f>
        <v>3260</v>
      </c>
      <c r="E161" s="40">
        <f>IF([2]Setup!$B$19=[2]Setup!$T$19,'[2]Country populations'!E162,'[2]Country populations'!P162)</f>
        <v>3260</v>
      </c>
      <c r="F161" s="40">
        <f>IF([2]Setup!$B$19=[2]Setup!$T$19,'[2]Country populations'!F162,'[2]Country populations'!Q162)</f>
        <v>3258</v>
      </c>
      <c r="G161" s="40">
        <f>IF([2]Setup!$B$19=[2]Setup!$T$19,'[2]Country populations'!G162,'[2]Country populations'!R162)</f>
        <v>3252</v>
      </c>
      <c r="H161" s="40">
        <f>IF([2]Setup!$B$19=[2]Setup!$T$19,'[2]Country populations'!H162,'[2]Country populations'!S162)</f>
        <v>3245</v>
      </c>
      <c r="I161" s="40">
        <f>IF([2]Setup!$B$19=[2]Setup!$T$19,'[2]Country populations'!I162,'[2]Country populations'!T162)</f>
        <v>3236</v>
      </c>
      <c r="J161" s="40">
        <f>IF([2]Setup!$B$19=[2]Setup!$T$19,'[2]Country populations'!J162,'[2]Country populations'!U162)</f>
        <v>3223</v>
      </c>
      <c r="K161" s="40">
        <f>IF([2]Setup!$B$19=[2]Setup!$T$19,'[2]Country populations'!K162,'[2]Country populations'!V162)</f>
        <v>3208</v>
      </c>
      <c r="L161" s="40">
        <f>IF([2]Setup!$B$19=[2]Setup!$T$19,'[2]Country populations'!L162,'[2]Country populations'!W162)</f>
        <v>3190</v>
      </c>
      <c r="M161" s="40" t="str">
        <f t="shared" si="6"/>
        <v>Serbia</v>
      </c>
      <c r="N161" s="40">
        <f>IF([2]Setup!$B$20=[2]Setup!$U$19,'[2]Country populations'!X162,'[2]Country populations'!AI162)</f>
        <v>55</v>
      </c>
      <c r="O161" s="40">
        <f>IF([2]Setup!$B$20=[2]Setup!$U$19,'[2]Country populations'!Y162,'[2]Country populations'!AJ162)</f>
        <v>58</v>
      </c>
      <c r="P161" s="40">
        <f>IF([2]Setup!$B$20=[2]Setup!$U$19,'[2]Country populations'!Z162,'[2]Country populations'!AK162)</f>
        <v>59</v>
      </c>
      <c r="Q161" s="40">
        <f>IF([2]Setup!$B$20=[2]Setup!$U$19,'[2]Country populations'!AA162,'[2]Country populations'!AL162)</f>
        <v>60</v>
      </c>
      <c r="R161" s="40">
        <f>IF([2]Setup!$B$20=[2]Setup!$U$19,'[2]Country populations'!AB162,'[2]Country populations'!AM162)</f>
        <v>60</v>
      </c>
      <c r="S161" s="40">
        <f>IF([2]Setup!$B$20=[2]Setup!$U$19,'[2]Country populations'!AC162,'[2]Country populations'!AN162)</f>
        <v>59</v>
      </c>
      <c r="T161" s="40">
        <f>IF([2]Setup!$B$20=[2]Setup!$U$19,'[2]Country populations'!AD162,'[2]Country populations'!AO162)</f>
        <v>59</v>
      </c>
      <c r="U161" s="40">
        <f>IF([2]Setup!$B$20=[2]Setup!$U$19,'[2]Country populations'!AE162,'[2]Country populations'!AP162)</f>
        <v>58</v>
      </c>
      <c r="V161" s="40">
        <f>IF([2]Setup!$B$20=[2]Setup!$U$19,'[2]Country populations'!AF162,'[2]Country populations'!AQ162)</f>
        <v>56</v>
      </c>
      <c r="W161" s="40">
        <f>IF([2]Setup!$B$20=[2]Setup!$U$19,'[2]Country populations'!AG162,'[2]Country populations'!AR162)</f>
        <v>56</v>
      </c>
      <c r="X161" s="40">
        <f>IF([2]Setup!$B$20=[2]Setup!$U$19,'[2]Country populations'!AH162,'[2]Country populations'!AS162)</f>
        <v>56</v>
      </c>
      <c r="Y161" s="40" t="str">
        <f t="shared" si="7"/>
        <v>Serbia</v>
      </c>
      <c r="Z161" s="40">
        <f>IF([2]Setup!$B$21=[2]Setup!$V$19,'[2]Country populations'!AT162,'[2]Country populations'!BE162)</f>
        <v>15</v>
      </c>
      <c r="AA161" s="40">
        <f>IF([2]Setup!$B$21=[2]Setup!$V$19,'[2]Country populations'!AU162,'[2]Country populations'!BF162)</f>
        <v>15</v>
      </c>
      <c r="AB161" s="40">
        <f>IF([2]Setup!$B$21=[2]Setup!$V$19,'[2]Country populations'!AV162,'[2]Country populations'!BG162)</f>
        <v>15</v>
      </c>
      <c r="AC161" s="40">
        <f>IF([2]Setup!$B$21=[2]Setup!$V$19,'[2]Country populations'!AW162,'[2]Country populations'!BH162)</f>
        <v>14</v>
      </c>
      <c r="AD161" s="40">
        <f>IF([2]Setup!$B$21=[2]Setup!$V$19,'[2]Country populations'!AX162,'[2]Country populations'!BI162)</f>
        <v>14</v>
      </c>
      <c r="AE161" s="40">
        <f>IF([2]Setup!$B$21=[2]Setup!$V$19,'[2]Country populations'!AY162,'[2]Country populations'!BJ162)</f>
        <v>14</v>
      </c>
      <c r="AF161" s="40">
        <f>IF([2]Setup!$B$21=[2]Setup!$V$19,'[2]Country populations'!AZ162,'[2]Country populations'!BK162)</f>
        <v>14</v>
      </c>
      <c r="AG161" s="40">
        <f>IF([2]Setup!$B$21=[2]Setup!$V$19,'[2]Country populations'!BA162,'[2]Country populations'!BL162)</f>
        <v>13</v>
      </c>
      <c r="AH161" s="40">
        <f>IF([2]Setup!$B$21=[2]Setup!$V$19,'[2]Country populations'!BB162,'[2]Country populations'!BM162)</f>
        <v>13</v>
      </c>
      <c r="AI161" s="40">
        <f>IF([2]Setup!$B$21=[2]Setup!$V$19,'[2]Country populations'!BC162,'[2]Country populations'!BN162)</f>
        <v>13</v>
      </c>
      <c r="AJ161" s="40">
        <f>IF([2]Setup!$B$21=[2]Setup!$V$19,'[2]Country populations'!BD162,'[2]Country populations'!BO162)</f>
        <v>13</v>
      </c>
    </row>
    <row r="162" spans="1:36" x14ac:dyDescent="0.25">
      <c r="A162" t="str">
        <f>'[2]Country populations'!A163</f>
        <v>Seychelles</v>
      </c>
      <c r="B162" s="40">
        <f>IF([2]Setup!$B$19=[2]Setup!$T$19,'[2]Country populations'!B163,'[2]Country populations'!M163)</f>
        <v>0</v>
      </c>
      <c r="C162" s="40">
        <f>IF([2]Setup!$B$19=[2]Setup!$T$19,'[2]Country populations'!C163,'[2]Country populations'!N163)</f>
        <v>0</v>
      </c>
      <c r="D162" s="40">
        <f>IF([2]Setup!$B$19=[2]Setup!$T$19,'[2]Country populations'!D163,'[2]Country populations'!O163)</f>
        <v>0</v>
      </c>
      <c r="E162" s="40">
        <f>IF([2]Setup!$B$19=[2]Setup!$T$19,'[2]Country populations'!E163,'[2]Country populations'!P163)</f>
        <v>0</v>
      </c>
      <c r="F162" s="40">
        <f>IF([2]Setup!$B$19=[2]Setup!$T$19,'[2]Country populations'!F163,'[2]Country populations'!Q163)</f>
        <v>0</v>
      </c>
      <c r="G162" s="40">
        <f>IF([2]Setup!$B$19=[2]Setup!$T$19,'[2]Country populations'!G163,'[2]Country populations'!R163)</f>
        <v>0</v>
      </c>
      <c r="H162" s="40">
        <f>IF([2]Setup!$B$19=[2]Setup!$T$19,'[2]Country populations'!H163,'[2]Country populations'!S163)</f>
        <v>0</v>
      </c>
      <c r="I162" s="40">
        <f>IF([2]Setup!$B$19=[2]Setup!$T$19,'[2]Country populations'!I163,'[2]Country populations'!T163)</f>
        <v>0</v>
      </c>
      <c r="J162" s="40">
        <f>IF([2]Setup!$B$19=[2]Setup!$T$19,'[2]Country populations'!J163,'[2]Country populations'!U163)</f>
        <v>0</v>
      </c>
      <c r="K162" s="40">
        <f>IF([2]Setup!$B$19=[2]Setup!$T$19,'[2]Country populations'!K163,'[2]Country populations'!V163)</f>
        <v>0</v>
      </c>
      <c r="L162" s="40">
        <f>IF([2]Setup!$B$19=[2]Setup!$T$19,'[2]Country populations'!L163,'[2]Country populations'!W163)</f>
        <v>0</v>
      </c>
      <c r="M162" s="40" t="str">
        <f t="shared" si="6"/>
        <v>Seychelles</v>
      </c>
      <c r="N162" s="40">
        <f>IF([2]Setup!$B$20=[2]Setup!$U$19,'[2]Country populations'!X163,'[2]Country populations'!AI163)</f>
        <v>0</v>
      </c>
      <c r="O162" s="40">
        <f>IF([2]Setup!$B$20=[2]Setup!$U$19,'[2]Country populations'!Y163,'[2]Country populations'!AJ163)</f>
        <v>0</v>
      </c>
      <c r="P162" s="40">
        <f>IF([2]Setup!$B$20=[2]Setup!$U$19,'[2]Country populations'!Z163,'[2]Country populations'!AK163)</f>
        <v>0</v>
      </c>
      <c r="Q162" s="40">
        <f>IF([2]Setup!$B$20=[2]Setup!$U$19,'[2]Country populations'!AA163,'[2]Country populations'!AL163)</f>
        <v>0</v>
      </c>
      <c r="R162" s="40">
        <f>IF([2]Setup!$B$20=[2]Setup!$U$19,'[2]Country populations'!AB163,'[2]Country populations'!AM163)</f>
        <v>0</v>
      </c>
      <c r="S162" s="40">
        <f>IF([2]Setup!$B$20=[2]Setup!$U$19,'[2]Country populations'!AC163,'[2]Country populations'!AN163)</f>
        <v>0</v>
      </c>
      <c r="T162" s="40">
        <f>IF([2]Setup!$B$20=[2]Setup!$U$19,'[2]Country populations'!AD163,'[2]Country populations'!AO163)</f>
        <v>0</v>
      </c>
      <c r="U162" s="40">
        <f>IF([2]Setup!$B$20=[2]Setup!$U$19,'[2]Country populations'!AE163,'[2]Country populations'!AP163)</f>
        <v>0</v>
      </c>
      <c r="V162" s="40">
        <f>IF([2]Setup!$B$20=[2]Setup!$U$19,'[2]Country populations'!AF163,'[2]Country populations'!AQ163)</f>
        <v>0</v>
      </c>
      <c r="W162" s="40">
        <f>IF([2]Setup!$B$20=[2]Setup!$U$19,'[2]Country populations'!AG163,'[2]Country populations'!AR163)</f>
        <v>0</v>
      </c>
      <c r="X162" s="40">
        <f>IF([2]Setup!$B$20=[2]Setup!$U$19,'[2]Country populations'!AH163,'[2]Country populations'!AS163)</f>
        <v>0</v>
      </c>
      <c r="Y162" s="40" t="str">
        <f t="shared" si="7"/>
        <v>Seychelles</v>
      </c>
      <c r="Z162" s="40">
        <f>IF([2]Setup!$B$21=[2]Setup!$V$19,'[2]Country populations'!AT163,'[2]Country populations'!BE163)</f>
        <v>0</v>
      </c>
      <c r="AA162" s="40">
        <f>IF([2]Setup!$B$21=[2]Setup!$V$19,'[2]Country populations'!AU163,'[2]Country populations'!BF163)</f>
        <v>0</v>
      </c>
      <c r="AB162" s="40">
        <f>IF([2]Setup!$B$21=[2]Setup!$V$19,'[2]Country populations'!AV163,'[2]Country populations'!BG163)</f>
        <v>0</v>
      </c>
      <c r="AC162" s="40">
        <f>IF([2]Setup!$B$21=[2]Setup!$V$19,'[2]Country populations'!AW163,'[2]Country populations'!BH163)</f>
        <v>0</v>
      </c>
      <c r="AD162" s="40">
        <f>IF([2]Setup!$B$21=[2]Setup!$V$19,'[2]Country populations'!AX163,'[2]Country populations'!BI163)</f>
        <v>0</v>
      </c>
      <c r="AE162" s="40">
        <f>IF([2]Setup!$B$21=[2]Setup!$V$19,'[2]Country populations'!AY163,'[2]Country populations'!BJ163)</f>
        <v>0</v>
      </c>
      <c r="AF162" s="40">
        <f>IF([2]Setup!$B$21=[2]Setup!$V$19,'[2]Country populations'!AZ163,'[2]Country populations'!BK163)</f>
        <v>0</v>
      </c>
      <c r="AG162" s="40">
        <f>IF([2]Setup!$B$21=[2]Setup!$V$19,'[2]Country populations'!BA163,'[2]Country populations'!BL163)</f>
        <v>0</v>
      </c>
      <c r="AH162" s="40">
        <f>IF([2]Setup!$B$21=[2]Setup!$V$19,'[2]Country populations'!BB163,'[2]Country populations'!BM163)</f>
        <v>0</v>
      </c>
      <c r="AI162" s="40">
        <f>IF([2]Setup!$B$21=[2]Setup!$V$19,'[2]Country populations'!BC163,'[2]Country populations'!BN163)</f>
        <v>0</v>
      </c>
      <c r="AJ162" s="40">
        <f>IF([2]Setup!$B$21=[2]Setup!$V$19,'[2]Country populations'!BD163,'[2]Country populations'!BO163)</f>
        <v>0</v>
      </c>
    </row>
    <row r="163" spans="1:36" x14ac:dyDescent="0.25">
      <c r="A163" t="str">
        <f>'[2]Country populations'!A164</f>
        <v>Sierra Leone</v>
      </c>
      <c r="B163" s="40">
        <f>IF([2]Setup!$B$19=[2]Setup!$T$19,'[2]Country populations'!B164,'[2]Country populations'!M164)</f>
        <v>56609</v>
      </c>
      <c r="C163" s="40">
        <f>IF([2]Setup!$B$19=[2]Setup!$T$19,'[2]Country populations'!C164,'[2]Country populations'!N164)</f>
        <v>57243</v>
      </c>
      <c r="D163" s="40">
        <f>IF([2]Setup!$B$19=[2]Setup!$T$19,'[2]Country populations'!D164,'[2]Country populations'!O164)</f>
        <v>57993</v>
      </c>
      <c r="E163" s="40">
        <f>IF([2]Setup!$B$19=[2]Setup!$T$19,'[2]Country populations'!E164,'[2]Country populations'!P164)</f>
        <v>58874</v>
      </c>
      <c r="F163" s="40">
        <f>IF([2]Setup!$B$19=[2]Setup!$T$19,'[2]Country populations'!F164,'[2]Country populations'!Q164)</f>
        <v>59842</v>
      </c>
      <c r="G163" s="40">
        <f>IF([2]Setup!$B$19=[2]Setup!$T$19,'[2]Country populations'!G164,'[2]Country populations'!R164)</f>
        <v>60925</v>
      </c>
      <c r="H163" s="40">
        <f>IF([2]Setup!$B$19=[2]Setup!$T$19,'[2]Country populations'!H164,'[2]Country populations'!S164)</f>
        <v>62008</v>
      </c>
      <c r="I163" s="40">
        <f>IF([2]Setup!$B$19=[2]Setup!$T$19,'[2]Country populations'!I164,'[2]Country populations'!T164)</f>
        <v>63036</v>
      </c>
      <c r="J163" s="40">
        <f>IF([2]Setup!$B$19=[2]Setup!$T$19,'[2]Country populations'!J164,'[2]Country populations'!U164)</f>
        <v>64002</v>
      </c>
      <c r="K163" s="40">
        <f>IF([2]Setup!$B$19=[2]Setup!$T$19,'[2]Country populations'!K164,'[2]Country populations'!V164)</f>
        <v>64950</v>
      </c>
      <c r="L163" s="40">
        <f>IF([2]Setup!$B$19=[2]Setup!$T$19,'[2]Country populations'!L164,'[2]Country populations'!W164)</f>
        <v>65868</v>
      </c>
      <c r="M163" s="40" t="str">
        <f t="shared" si="6"/>
        <v>Sierra Leone</v>
      </c>
      <c r="N163" s="40">
        <f>IF([2]Setup!$B$20=[2]Setup!$U$19,'[2]Country populations'!X164,'[2]Country populations'!AI164)</f>
        <v>4784</v>
      </c>
      <c r="O163" s="40">
        <f>IF([2]Setup!$B$20=[2]Setup!$U$19,'[2]Country populations'!Y164,'[2]Country populations'!AJ164)</f>
        <v>4809</v>
      </c>
      <c r="P163" s="40">
        <f>IF([2]Setup!$B$20=[2]Setup!$U$19,'[2]Country populations'!Z164,'[2]Country populations'!AK164)</f>
        <v>4851</v>
      </c>
      <c r="Q163" s="40">
        <f>IF([2]Setup!$B$20=[2]Setup!$U$19,'[2]Country populations'!AA164,'[2]Country populations'!AL164)</f>
        <v>4911</v>
      </c>
      <c r="R163" s="40">
        <f>IF([2]Setup!$B$20=[2]Setup!$U$19,'[2]Country populations'!AB164,'[2]Country populations'!AM164)</f>
        <v>5021</v>
      </c>
      <c r="S163" s="40">
        <f>IF([2]Setup!$B$20=[2]Setup!$U$19,'[2]Country populations'!AC164,'[2]Country populations'!AN164)</f>
        <v>5205</v>
      </c>
      <c r="T163" s="40">
        <f>IF([2]Setup!$B$20=[2]Setup!$U$19,'[2]Country populations'!AD164,'[2]Country populations'!AO164)</f>
        <v>5426</v>
      </c>
      <c r="U163" s="40">
        <f>IF([2]Setup!$B$20=[2]Setup!$U$19,'[2]Country populations'!AE164,'[2]Country populations'!AP164)</f>
        <v>5601</v>
      </c>
      <c r="V163" s="40">
        <f>IF([2]Setup!$B$20=[2]Setup!$U$19,'[2]Country populations'!AF164,'[2]Country populations'!AQ164)</f>
        <v>5783</v>
      </c>
      <c r="W163" s="40">
        <f>IF([2]Setup!$B$20=[2]Setup!$U$19,'[2]Country populations'!AG164,'[2]Country populations'!AR164)</f>
        <v>5934</v>
      </c>
      <c r="X163" s="40">
        <f>IF([2]Setup!$B$20=[2]Setup!$U$19,'[2]Country populations'!AH164,'[2]Country populations'!AS164)</f>
        <v>6092</v>
      </c>
      <c r="Y163" s="40" t="str">
        <f t="shared" si="7"/>
        <v>Sierra Leone</v>
      </c>
      <c r="Z163" s="40">
        <f>IF([2]Setup!$B$21=[2]Setup!$V$19,'[2]Country populations'!AT164,'[2]Country populations'!BE164)</f>
        <v>3199</v>
      </c>
      <c r="AA163" s="40">
        <f>IF([2]Setup!$B$21=[2]Setup!$V$19,'[2]Country populations'!AU164,'[2]Country populations'!BF164)</f>
        <v>3130</v>
      </c>
      <c r="AB163" s="40">
        <f>IF([2]Setup!$B$21=[2]Setup!$V$19,'[2]Country populations'!AV164,'[2]Country populations'!BG164)</f>
        <v>3056</v>
      </c>
      <c r="AC163" s="40">
        <f>IF([2]Setup!$B$21=[2]Setup!$V$19,'[2]Country populations'!AW164,'[2]Country populations'!BH164)</f>
        <v>2983</v>
      </c>
      <c r="AD163" s="40">
        <f>IF([2]Setup!$B$21=[2]Setup!$V$19,'[2]Country populations'!AX164,'[2]Country populations'!BI164)</f>
        <v>2912</v>
      </c>
      <c r="AE163" s="40">
        <f>IF([2]Setup!$B$21=[2]Setup!$V$19,'[2]Country populations'!AY164,'[2]Country populations'!BJ164)</f>
        <v>2846</v>
      </c>
      <c r="AF163" s="40">
        <f>IF([2]Setup!$B$21=[2]Setup!$V$19,'[2]Country populations'!AZ164,'[2]Country populations'!BK164)</f>
        <v>2781</v>
      </c>
      <c r="AG163" s="40">
        <f>IF([2]Setup!$B$21=[2]Setup!$V$19,'[2]Country populations'!BA164,'[2]Country populations'!BL164)</f>
        <v>2715</v>
      </c>
      <c r="AH163" s="40">
        <f>IF([2]Setup!$B$21=[2]Setup!$V$19,'[2]Country populations'!BB164,'[2]Country populations'!BM164)</f>
        <v>2655</v>
      </c>
      <c r="AI163" s="40">
        <f>IF([2]Setup!$B$21=[2]Setup!$V$19,'[2]Country populations'!BC164,'[2]Country populations'!BN164)</f>
        <v>2600</v>
      </c>
      <c r="AJ163" s="40">
        <f>IF([2]Setup!$B$21=[2]Setup!$V$19,'[2]Country populations'!BD164,'[2]Country populations'!BO164)</f>
        <v>2553</v>
      </c>
    </row>
    <row r="164" spans="1:36" x14ac:dyDescent="0.25">
      <c r="A164" t="str">
        <f>'[2]Country populations'!A165</f>
        <v>Singapore</v>
      </c>
      <c r="B164" s="40">
        <f>IF([2]Setup!$B$19=[2]Setup!$T$19,'[2]Country populations'!B165,'[2]Country populations'!M165)</f>
        <v>4366</v>
      </c>
      <c r="C164" s="40">
        <f>IF([2]Setup!$B$19=[2]Setup!$T$19,'[2]Country populations'!C165,'[2]Country populations'!N165)</f>
        <v>4629</v>
      </c>
      <c r="D164" s="40">
        <f>IF([2]Setup!$B$19=[2]Setup!$T$19,'[2]Country populations'!D165,'[2]Country populations'!O165)</f>
        <v>4906</v>
      </c>
      <c r="E164" s="40">
        <f>IF([2]Setup!$B$19=[2]Setup!$T$19,'[2]Country populations'!E165,'[2]Country populations'!P165)</f>
        <v>5195</v>
      </c>
      <c r="F164" s="40">
        <f>IF([2]Setup!$B$19=[2]Setup!$T$19,'[2]Country populations'!F165,'[2]Country populations'!Q165)</f>
        <v>5494</v>
      </c>
      <c r="G164" s="40">
        <f>IF([2]Setup!$B$19=[2]Setup!$T$19,'[2]Country populations'!G165,'[2]Country populations'!R165)</f>
        <v>5799</v>
      </c>
      <c r="H164" s="40">
        <f>IF([2]Setup!$B$19=[2]Setup!$T$19,'[2]Country populations'!H165,'[2]Country populations'!S165)</f>
        <v>6096</v>
      </c>
      <c r="I164" s="40">
        <f>IF([2]Setup!$B$19=[2]Setup!$T$19,'[2]Country populations'!I165,'[2]Country populations'!T165)</f>
        <v>6388</v>
      </c>
      <c r="J164" s="40">
        <f>IF([2]Setup!$B$19=[2]Setup!$T$19,'[2]Country populations'!J165,'[2]Country populations'!U165)</f>
        <v>6676</v>
      </c>
      <c r="K164" s="40">
        <f>IF([2]Setup!$B$19=[2]Setup!$T$19,'[2]Country populations'!K165,'[2]Country populations'!V165)</f>
        <v>6960</v>
      </c>
      <c r="L164" s="40">
        <f>IF([2]Setup!$B$19=[2]Setup!$T$19,'[2]Country populations'!L165,'[2]Country populations'!W165)</f>
        <v>7241</v>
      </c>
      <c r="M164" s="40" t="str">
        <f t="shared" si="6"/>
        <v>Singapore</v>
      </c>
      <c r="N164" s="40">
        <f>IF([2]Setup!$B$20=[2]Setup!$U$19,'[2]Country populations'!X165,'[2]Country populations'!AI165)</f>
        <v>180</v>
      </c>
      <c r="O164" s="40">
        <f>IF([2]Setup!$B$20=[2]Setup!$U$19,'[2]Country populations'!Y165,'[2]Country populations'!AJ165)</f>
        <v>180</v>
      </c>
      <c r="P164" s="40">
        <f>IF([2]Setup!$B$20=[2]Setup!$U$19,'[2]Country populations'!Z165,'[2]Country populations'!AK165)</f>
        <v>183</v>
      </c>
      <c r="Q164" s="40">
        <f>IF([2]Setup!$B$20=[2]Setup!$U$19,'[2]Country populations'!AA165,'[2]Country populations'!AL165)</f>
        <v>187</v>
      </c>
      <c r="R164" s="40">
        <f>IF([2]Setup!$B$20=[2]Setup!$U$19,'[2]Country populations'!AB165,'[2]Country populations'!AM165)</f>
        <v>194</v>
      </c>
      <c r="S164" s="40">
        <f>IF([2]Setup!$B$20=[2]Setup!$U$19,'[2]Country populations'!AC165,'[2]Country populations'!AN165)</f>
        <v>204</v>
      </c>
      <c r="T164" s="40">
        <f>IF([2]Setup!$B$20=[2]Setup!$U$19,'[2]Country populations'!AD165,'[2]Country populations'!AO165)</f>
        <v>215</v>
      </c>
      <c r="U164" s="40">
        <f>IF([2]Setup!$B$20=[2]Setup!$U$19,'[2]Country populations'!AE165,'[2]Country populations'!AP165)</f>
        <v>227</v>
      </c>
      <c r="V164" s="40">
        <f>IF([2]Setup!$B$20=[2]Setup!$U$19,'[2]Country populations'!AF165,'[2]Country populations'!AQ165)</f>
        <v>240</v>
      </c>
      <c r="W164" s="40">
        <f>IF([2]Setup!$B$20=[2]Setup!$U$19,'[2]Country populations'!AG165,'[2]Country populations'!AR165)</f>
        <v>253</v>
      </c>
      <c r="X164" s="40">
        <f>IF([2]Setup!$B$20=[2]Setup!$U$19,'[2]Country populations'!AH165,'[2]Country populations'!AS165)</f>
        <v>268</v>
      </c>
      <c r="Y164" s="40" t="str">
        <f t="shared" si="7"/>
        <v>Singapore</v>
      </c>
      <c r="Z164" s="40">
        <f>IF([2]Setup!$B$21=[2]Setup!$V$19,'[2]Country populations'!AT165,'[2]Country populations'!BE165)</f>
        <v>24</v>
      </c>
      <c r="AA164" s="40">
        <f>IF([2]Setup!$B$21=[2]Setup!$V$19,'[2]Country populations'!AU165,'[2]Country populations'!BF165)</f>
        <v>25</v>
      </c>
      <c r="AB164" s="40">
        <f>IF([2]Setup!$B$21=[2]Setup!$V$19,'[2]Country populations'!AV165,'[2]Country populations'!BG165)</f>
        <v>26</v>
      </c>
      <c r="AC164" s="40">
        <f>IF([2]Setup!$B$21=[2]Setup!$V$19,'[2]Country populations'!AW165,'[2]Country populations'!BH165)</f>
        <v>28</v>
      </c>
      <c r="AD164" s="40">
        <f>IF([2]Setup!$B$21=[2]Setup!$V$19,'[2]Country populations'!AX165,'[2]Country populations'!BI165)</f>
        <v>30</v>
      </c>
      <c r="AE164" s="40">
        <f>IF([2]Setup!$B$21=[2]Setup!$V$19,'[2]Country populations'!AY165,'[2]Country populations'!BJ165)</f>
        <v>32</v>
      </c>
      <c r="AF164" s="40">
        <f>IF([2]Setup!$B$21=[2]Setup!$V$19,'[2]Country populations'!AZ165,'[2]Country populations'!BK165)</f>
        <v>34</v>
      </c>
      <c r="AG164" s="40">
        <f>IF([2]Setup!$B$21=[2]Setup!$V$19,'[2]Country populations'!BA165,'[2]Country populations'!BL165)</f>
        <v>37</v>
      </c>
      <c r="AH164" s="40">
        <f>IF([2]Setup!$B$21=[2]Setup!$V$19,'[2]Country populations'!BB165,'[2]Country populations'!BM165)</f>
        <v>39</v>
      </c>
      <c r="AI164" s="40">
        <f>IF([2]Setup!$B$21=[2]Setup!$V$19,'[2]Country populations'!BC165,'[2]Country populations'!BN165)</f>
        <v>41</v>
      </c>
      <c r="AJ164" s="40">
        <f>IF([2]Setup!$B$21=[2]Setup!$V$19,'[2]Country populations'!BD165,'[2]Country populations'!BO165)</f>
        <v>43</v>
      </c>
    </row>
    <row r="165" spans="1:36" x14ac:dyDescent="0.25">
      <c r="A165" t="str">
        <f>'[2]Country populations'!A166</f>
        <v>Slovakia</v>
      </c>
      <c r="B165" s="40">
        <f>IF([2]Setup!$B$19=[2]Setup!$T$19,'[2]Country populations'!B166,'[2]Country populations'!M166)</f>
        <v>706</v>
      </c>
      <c r="C165" s="40">
        <f>IF([2]Setup!$B$19=[2]Setup!$T$19,'[2]Country populations'!C166,'[2]Country populations'!N166)</f>
        <v>768</v>
      </c>
      <c r="D165" s="40">
        <f>IF([2]Setup!$B$19=[2]Setup!$T$19,'[2]Country populations'!D166,'[2]Country populations'!O166)</f>
        <v>828</v>
      </c>
      <c r="E165" s="40">
        <f>IF([2]Setup!$B$19=[2]Setup!$T$19,'[2]Country populations'!E166,'[2]Country populations'!P166)</f>
        <v>887</v>
      </c>
      <c r="F165" s="40">
        <f>IF([2]Setup!$B$19=[2]Setup!$T$19,'[2]Country populations'!F166,'[2]Country populations'!Q166)</f>
        <v>944</v>
      </c>
      <c r="G165" s="40">
        <f>IF([2]Setup!$B$19=[2]Setup!$T$19,'[2]Country populations'!G166,'[2]Country populations'!R166)</f>
        <v>999</v>
      </c>
      <c r="H165" s="40">
        <f>IF([2]Setup!$B$19=[2]Setup!$T$19,'[2]Country populations'!H166,'[2]Country populations'!S166)</f>
        <v>1054</v>
      </c>
      <c r="I165" s="40">
        <f>IF([2]Setup!$B$19=[2]Setup!$T$19,'[2]Country populations'!I166,'[2]Country populations'!T166)</f>
        <v>1106</v>
      </c>
      <c r="J165" s="40">
        <f>IF([2]Setup!$B$19=[2]Setup!$T$19,'[2]Country populations'!J166,'[2]Country populations'!U166)</f>
        <v>1158</v>
      </c>
      <c r="K165" s="40">
        <f>IF([2]Setup!$B$19=[2]Setup!$T$19,'[2]Country populations'!K166,'[2]Country populations'!V166)</f>
        <v>1208</v>
      </c>
      <c r="L165" s="40">
        <f>IF([2]Setup!$B$19=[2]Setup!$T$19,'[2]Country populations'!L166,'[2]Country populations'!W166)</f>
        <v>1256</v>
      </c>
      <c r="M165" s="40" t="str">
        <f t="shared" si="6"/>
        <v>Slovakia</v>
      </c>
      <c r="N165" s="40">
        <f>IF([2]Setup!$B$20=[2]Setup!$U$19,'[2]Country populations'!X166,'[2]Country populations'!AI166)</f>
        <v>0.87824999999999998</v>
      </c>
      <c r="O165" s="40">
        <f>IF([2]Setup!$B$20=[2]Setup!$U$19,'[2]Country populations'!Y166,'[2]Country populations'!AJ166)</f>
        <v>1</v>
      </c>
      <c r="P165" s="40">
        <f>IF([2]Setup!$B$20=[2]Setup!$U$19,'[2]Country populations'!Z166,'[2]Country populations'!AK166)</f>
        <v>1</v>
      </c>
      <c r="Q165" s="40">
        <f>IF([2]Setup!$B$20=[2]Setup!$U$19,'[2]Country populations'!AA166,'[2]Country populations'!AL166)</f>
        <v>1</v>
      </c>
      <c r="R165" s="40">
        <f>IF([2]Setup!$B$20=[2]Setup!$U$19,'[2]Country populations'!AB166,'[2]Country populations'!AM166)</f>
        <v>2</v>
      </c>
      <c r="S165" s="40">
        <f>IF([2]Setup!$B$20=[2]Setup!$U$19,'[2]Country populations'!AC166,'[2]Country populations'!AN166)</f>
        <v>2</v>
      </c>
      <c r="T165" s="40">
        <f>IF([2]Setup!$B$20=[2]Setup!$U$19,'[2]Country populations'!AD166,'[2]Country populations'!AO166)</f>
        <v>2</v>
      </c>
      <c r="U165" s="40">
        <f>IF([2]Setup!$B$20=[2]Setup!$U$19,'[2]Country populations'!AE166,'[2]Country populations'!AP166)</f>
        <v>3</v>
      </c>
      <c r="V165" s="40">
        <f>IF([2]Setup!$B$20=[2]Setup!$U$19,'[2]Country populations'!AF166,'[2]Country populations'!AQ166)</f>
        <v>3</v>
      </c>
      <c r="W165" s="40">
        <f>IF([2]Setup!$B$20=[2]Setup!$U$19,'[2]Country populations'!AG166,'[2]Country populations'!AR166)</f>
        <v>4</v>
      </c>
      <c r="X165" s="40">
        <f>IF([2]Setup!$B$20=[2]Setup!$U$19,'[2]Country populations'!AH166,'[2]Country populations'!AS166)</f>
        <v>4</v>
      </c>
      <c r="Y165" s="40" t="str">
        <f t="shared" si="7"/>
        <v>Slovakia</v>
      </c>
      <c r="Z165" s="40">
        <f>IF([2]Setup!$B$21=[2]Setup!$V$19,'[2]Country populations'!AT166,'[2]Country populations'!BE166)</f>
        <v>2</v>
      </c>
      <c r="AA165" s="40">
        <f>IF([2]Setup!$B$21=[2]Setup!$V$19,'[2]Country populations'!AU166,'[2]Country populations'!BF166)</f>
        <v>2</v>
      </c>
      <c r="AB165" s="40">
        <f>IF([2]Setup!$B$21=[2]Setup!$V$19,'[2]Country populations'!AV166,'[2]Country populations'!BG166)</f>
        <v>2</v>
      </c>
      <c r="AC165" s="40">
        <f>IF([2]Setup!$B$21=[2]Setup!$V$19,'[2]Country populations'!AW166,'[2]Country populations'!BH166)</f>
        <v>2</v>
      </c>
      <c r="AD165" s="40">
        <f>IF([2]Setup!$B$21=[2]Setup!$V$19,'[2]Country populations'!AX166,'[2]Country populations'!BI166)</f>
        <v>2</v>
      </c>
      <c r="AE165" s="40">
        <f>IF([2]Setup!$B$21=[2]Setup!$V$19,'[2]Country populations'!AY166,'[2]Country populations'!BJ166)</f>
        <v>2</v>
      </c>
      <c r="AF165" s="40">
        <f>IF([2]Setup!$B$21=[2]Setup!$V$19,'[2]Country populations'!AZ166,'[2]Country populations'!BK166)</f>
        <v>2</v>
      </c>
      <c r="AG165" s="40">
        <f>IF([2]Setup!$B$21=[2]Setup!$V$19,'[2]Country populations'!BA166,'[2]Country populations'!BL166)</f>
        <v>2</v>
      </c>
      <c r="AH165" s="40">
        <f>IF([2]Setup!$B$21=[2]Setup!$V$19,'[2]Country populations'!BB166,'[2]Country populations'!BM166)</f>
        <v>3</v>
      </c>
      <c r="AI165" s="40">
        <f>IF([2]Setup!$B$21=[2]Setup!$V$19,'[2]Country populations'!BC166,'[2]Country populations'!BN166)</f>
        <v>3</v>
      </c>
      <c r="AJ165" s="40">
        <f>IF([2]Setup!$B$21=[2]Setup!$V$19,'[2]Country populations'!BD166,'[2]Country populations'!BO166)</f>
        <v>3</v>
      </c>
    </row>
    <row r="166" spans="1:36" x14ac:dyDescent="0.25">
      <c r="A166" t="str">
        <f>'[2]Country populations'!A167</f>
        <v>Slovenia</v>
      </c>
      <c r="B166" s="40">
        <f>IF([2]Setup!$B$19=[2]Setup!$T$19,'[2]Country populations'!B167,'[2]Country populations'!M167)</f>
        <v>1040</v>
      </c>
      <c r="C166" s="40">
        <f>IF([2]Setup!$B$19=[2]Setup!$T$19,'[2]Country populations'!C167,'[2]Country populations'!N167)</f>
        <v>1124</v>
      </c>
      <c r="D166" s="40">
        <f>IF([2]Setup!$B$19=[2]Setup!$T$19,'[2]Country populations'!D167,'[2]Country populations'!O167)</f>
        <v>1208</v>
      </c>
      <c r="E166" s="40">
        <f>IF([2]Setup!$B$19=[2]Setup!$T$19,'[2]Country populations'!E167,'[2]Country populations'!P167)</f>
        <v>1291</v>
      </c>
      <c r="F166" s="40">
        <f>IF([2]Setup!$B$19=[2]Setup!$T$19,'[2]Country populations'!F167,'[2]Country populations'!Q167)</f>
        <v>1372</v>
      </c>
      <c r="G166" s="40">
        <f>IF([2]Setup!$B$19=[2]Setup!$T$19,'[2]Country populations'!G167,'[2]Country populations'!R167)</f>
        <v>1451</v>
      </c>
      <c r="H166" s="40">
        <f>IF([2]Setup!$B$19=[2]Setup!$T$19,'[2]Country populations'!H167,'[2]Country populations'!S167)</f>
        <v>1529</v>
      </c>
      <c r="I166" s="40">
        <f>IF([2]Setup!$B$19=[2]Setup!$T$19,'[2]Country populations'!I167,'[2]Country populations'!T167)</f>
        <v>1605</v>
      </c>
      <c r="J166" s="40">
        <f>IF([2]Setup!$B$19=[2]Setup!$T$19,'[2]Country populations'!J167,'[2]Country populations'!U167)</f>
        <v>1679</v>
      </c>
      <c r="K166" s="40">
        <f>IF([2]Setup!$B$19=[2]Setup!$T$19,'[2]Country populations'!K167,'[2]Country populations'!V167)</f>
        <v>1751</v>
      </c>
      <c r="L166" s="40">
        <f>IF([2]Setup!$B$19=[2]Setup!$T$19,'[2]Country populations'!L167,'[2]Country populations'!W167)</f>
        <v>1822</v>
      </c>
      <c r="M166" s="40" t="str">
        <f t="shared" si="6"/>
        <v>Slovenia</v>
      </c>
      <c r="N166" s="40">
        <f>IF([2]Setup!$B$20=[2]Setup!$U$19,'[2]Country populations'!X167,'[2]Country populations'!AI167)</f>
        <v>5</v>
      </c>
      <c r="O166" s="40">
        <f>IF([2]Setup!$B$20=[2]Setup!$U$19,'[2]Country populations'!Y167,'[2]Country populations'!AJ167)</f>
        <v>5</v>
      </c>
      <c r="P166" s="40">
        <f>IF([2]Setup!$B$20=[2]Setup!$U$19,'[2]Country populations'!Z167,'[2]Country populations'!AK167)</f>
        <v>5</v>
      </c>
      <c r="Q166" s="40">
        <f>IF([2]Setup!$B$20=[2]Setup!$U$19,'[2]Country populations'!AA167,'[2]Country populations'!AL167)</f>
        <v>6</v>
      </c>
      <c r="R166" s="40">
        <f>IF([2]Setup!$B$20=[2]Setup!$U$19,'[2]Country populations'!AB167,'[2]Country populations'!AM167)</f>
        <v>6</v>
      </c>
      <c r="S166" s="40">
        <f>IF([2]Setup!$B$20=[2]Setup!$U$19,'[2]Country populations'!AC167,'[2]Country populations'!AN167)</f>
        <v>7</v>
      </c>
      <c r="T166" s="40">
        <f>IF([2]Setup!$B$20=[2]Setup!$U$19,'[2]Country populations'!AD167,'[2]Country populations'!AO167)</f>
        <v>7</v>
      </c>
      <c r="U166" s="40">
        <f>IF([2]Setup!$B$20=[2]Setup!$U$19,'[2]Country populations'!AE167,'[2]Country populations'!AP167)</f>
        <v>7</v>
      </c>
      <c r="V166" s="40">
        <f>IF([2]Setup!$B$20=[2]Setup!$U$19,'[2]Country populations'!AF167,'[2]Country populations'!AQ167)</f>
        <v>8</v>
      </c>
      <c r="W166" s="40">
        <f>IF([2]Setup!$B$20=[2]Setup!$U$19,'[2]Country populations'!AG167,'[2]Country populations'!AR167)</f>
        <v>8</v>
      </c>
      <c r="X166" s="40">
        <f>IF([2]Setup!$B$20=[2]Setup!$U$19,'[2]Country populations'!AH167,'[2]Country populations'!AS167)</f>
        <v>8</v>
      </c>
      <c r="Y166" s="40" t="str">
        <f t="shared" si="7"/>
        <v>Slovenia</v>
      </c>
      <c r="Z166" s="40">
        <f>IF([2]Setup!$B$21=[2]Setup!$V$19,'[2]Country populations'!AT167,'[2]Country populations'!BE167)</f>
        <v>2</v>
      </c>
      <c r="AA166" s="40">
        <f>IF([2]Setup!$B$21=[2]Setup!$V$19,'[2]Country populations'!AU167,'[2]Country populations'!BF167)</f>
        <v>3</v>
      </c>
      <c r="AB166" s="40">
        <f>IF([2]Setup!$B$21=[2]Setup!$V$19,'[2]Country populations'!AV167,'[2]Country populations'!BG167)</f>
        <v>3</v>
      </c>
      <c r="AC166" s="40">
        <f>IF([2]Setup!$B$21=[2]Setup!$V$19,'[2]Country populations'!AW167,'[2]Country populations'!BH167)</f>
        <v>3</v>
      </c>
      <c r="AD166" s="40">
        <f>IF([2]Setup!$B$21=[2]Setup!$V$19,'[2]Country populations'!AX167,'[2]Country populations'!BI167)</f>
        <v>3</v>
      </c>
      <c r="AE166" s="40">
        <f>IF([2]Setup!$B$21=[2]Setup!$V$19,'[2]Country populations'!AY167,'[2]Country populations'!BJ167)</f>
        <v>3</v>
      </c>
      <c r="AF166" s="40">
        <f>IF([2]Setup!$B$21=[2]Setup!$V$19,'[2]Country populations'!AZ167,'[2]Country populations'!BK167)</f>
        <v>3</v>
      </c>
      <c r="AG166" s="40">
        <f>IF([2]Setup!$B$21=[2]Setup!$V$19,'[2]Country populations'!BA167,'[2]Country populations'!BL167)</f>
        <v>3</v>
      </c>
      <c r="AH166" s="40">
        <f>IF([2]Setup!$B$21=[2]Setup!$V$19,'[2]Country populations'!BB167,'[2]Country populations'!BM167)</f>
        <v>3</v>
      </c>
      <c r="AI166" s="40">
        <f>IF([2]Setup!$B$21=[2]Setup!$V$19,'[2]Country populations'!BC167,'[2]Country populations'!BN167)</f>
        <v>3</v>
      </c>
      <c r="AJ166" s="40">
        <f>IF([2]Setup!$B$21=[2]Setup!$V$19,'[2]Country populations'!BD167,'[2]Country populations'!BO167)</f>
        <v>3</v>
      </c>
    </row>
    <row r="167" spans="1:36" x14ac:dyDescent="0.25">
      <c r="A167" t="str">
        <f>'[2]Country populations'!A168</f>
        <v>Solomon Islands</v>
      </c>
      <c r="B167" s="40">
        <f>IF([2]Setup!$B$19=[2]Setup!$T$19,'[2]Country populations'!B168,'[2]Country populations'!M168)</f>
        <v>0</v>
      </c>
      <c r="C167" s="40">
        <f>IF([2]Setup!$B$19=[2]Setup!$T$19,'[2]Country populations'!C168,'[2]Country populations'!N168)</f>
        <v>0</v>
      </c>
      <c r="D167" s="40">
        <f>IF([2]Setup!$B$19=[2]Setup!$T$19,'[2]Country populations'!D168,'[2]Country populations'!O168)</f>
        <v>0</v>
      </c>
      <c r="E167" s="40">
        <f>IF([2]Setup!$B$19=[2]Setup!$T$19,'[2]Country populations'!E168,'[2]Country populations'!P168)</f>
        <v>0</v>
      </c>
      <c r="F167" s="40">
        <f>IF([2]Setup!$B$19=[2]Setup!$T$19,'[2]Country populations'!F168,'[2]Country populations'!Q168)</f>
        <v>0</v>
      </c>
      <c r="G167" s="40">
        <f>IF([2]Setup!$B$19=[2]Setup!$T$19,'[2]Country populations'!G168,'[2]Country populations'!R168)</f>
        <v>0</v>
      </c>
      <c r="H167" s="40">
        <f>IF([2]Setup!$B$19=[2]Setup!$T$19,'[2]Country populations'!H168,'[2]Country populations'!S168)</f>
        <v>0</v>
      </c>
      <c r="I167" s="40">
        <f>IF([2]Setup!$B$19=[2]Setup!$T$19,'[2]Country populations'!I168,'[2]Country populations'!T168)</f>
        <v>0</v>
      </c>
      <c r="J167" s="40">
        <f>IF([2]Setup!$B$19=[2]Setup!$T$19,'[2]Country populations'!J168,'[2]Country populations'!U168)</f>
        <v>0</v>
      </c>
      <c r="K167" s="40">
        <f>IF([2]Setup!$B$19=[2]Setup!$T$19,'[2]Country populations'!K168,'[2]Country populations'!V168)</f>
        <v>0</v>
      </c>
      <c r="L167" s="40">
        <f>IF([2]Setup!$B$19=[2]Setup!$T$19,'[2]Country populations'!L168,'[2]Country populations'!W168)</f>
        <v>0</v>
      </c>
      <c r="M167" s="40" t="str">
        <f t="shared" si="6"/>
        <v>Solomon Islands</v>
      </c>
      <c r="N167" s="40">
        <f>IF([2]Setup!$B$20=[2]Setup!$U$19,'[2]Country populations'!X168,'[2]Country populations'!AI168)</f>
        <v>0</v>
      </c>
      <c r="O167" s="40">
        <f>IF([2]Setup!$B$20=[2]Setup!$U$19,'[2]Country populations'!Y168,'[2]Country populations'!AJ168)</f>
        <v>0</v>
      </c>
      <c r="P167" s="40">
        <f>IF([2]Setup!$B$20=[2]Setup!$U$19,'[2]Country populations'!Z168,'[2]Country populations'!AK168)</f>
        <v>0</v>
      </c>
      <c r="Q167" s="40">
        <f>IF([2]Setup!$B$20=[2]Setup!$U$19,'[2]Country populations'!AA168,'[2]Country populations'!AL168)</f>
        <v>0</v>
      </c>
      <c r="R167" s="40">
        <f>IF([2]Setup!$B$20=[2]Setup!$U$19,'[2]Country populations'!AB168,'[2]Country populations'!AM168)</f>
        <v>0</v>
      </c>
      <c r="S167" s="40">
        <f>IF([2]Setup!$B$20=[2]Setup!$U$19,'[2]Country populations'!AC168,'[2]Country populations'!AN168)</f>
        <v>0</v>
      </c>
      <c r="T167" s="40">
        <f>IF([2]Setup!$B$20=[2]Setup!$U$19,'[2]Country populations'!AD168,'[2]Country populations'!AO168)</f>
        <v>0</v>
      </c>
      <c r="U167" s="40">
        <f>IF([2]Setup!$B$20=[2]Setup!$U$19,'[2]Country populations'!AE168,'[2]Country populations'!AP168)</f>
        <v>0</v>
      </c>
      <c r="V167" s="40">
        <f>IF([2]Setup!$B$20=[2]Setup!$U$19,'[2]Country populations'!AF168,'[2]Country populations'!AQ168)</f>
        <v>0</v>
      </c>
      <c r="W167" s="40">
        <f>IF([2]Setup!$B$20=[2]Setup!$U$19,'[2]Country populations'!AG168,'[2]Country populations'!AR168)</f>
        <v>0</v>
      </c>
      <c r="X167" s="40">
        <f>IF([2]Setup!$B$20=[2]Setup!$U$19,'[2]Country populations'!AH168,'[2]Country populations'!AS168)</f>
        <v>0</v>
      </c>
      <c r="Y167" s="40" t="str">
        <f t="shared" si="7"/>
        <v>Solomon Islands</v>
      </c>
      <c r="Z167" s="40">
        <f>IF([2]Setup!$B$21=[2]Setup!$V$19,'[2]Country populations'!AT168,'[2]Country populations'!BE168)</f>
        <v>0</v>
      </c>
      <c r="AA167" s="40">
        <f>IF([2]Setup!$B$21=[2]Setup!$V$19,'[2]Country populations'!AU168,'[2]Country populations'!BF168)</f>
        <v>0</v>
      </c>
      <c r="AB167" s="40">
        <f>IF([2]Setup!$B$21=[2]Setup!$V$19,'[2]Country populations'!AV168,'[2]Country populations'!BG168)</f>
        <v>0</v>
      </c>
      <c r="AC167" s="40">
        <f>IF([2]Setup!$B$21=[2]Setup!$V$19,'[2]Country populations'!AW168,'[2]Country populations'!BH168)</f>
        <v>0</v>
      </c>
      <c r="AD167" s="40">
        <f>IF([2]Setup!$B$21=[2]Setup!$V$19,'[2]Country populations'!AX168,'[2]Country populations'!BI168)</f>
        <v>0</v>
      </c>
      <c r="AE167" s="40">
        <f>IF([2]Setup!$B$21=[2]Setup!$V$19,'[2]Country populations'!AY168,'[2]Country populations'!BJ168)</f>
        <v>0</v>
      </c>
      <c r="AF167" s="40">
        <f>IF([2]Setup!$B$21=[2]Setup!$V$19,'[2]Country populations'!AZ168,'[2]Country populations'!BK168)</f>
        <v>0</v>
      </c>
      <c r="AG167" s="40">
        <f>IF([2]Setup!$B$21=[2]Setup!$V$19,'[2]Country populations'!BA168,'[2]Country populations'!BL168)</f>
        <v>0</v>
      </c>
      <c r="AH167" s="40">
        <f>IF([2]Setup!$B$21=[2]Setup!$V$19,'[2]Country populations'!BB168,'[2]Country populations'!BM168)</f>
        <v>0</v>
      </c>
      <c r="AI167" s="40">
        <f>IF([2]Setup!$B$21=[2]Setup!$V$19,'[2]Country populations'!BC168,'[2]Country populations'!BN168)</f>
        <v>0</v>
      </c>
      <c r="AJ167" s="40">
        <f>IF([2]Setup!$B$21=[2]Setup!$V$19,'[2]Country populations'!BD168,'[2]Country populations'!BO168)</f>
        <v>0</v>
      </c>
    </row>
    <row r="168" spans="1:36" x14ac:dyDescent="0.25">
      <c r="A168" t="str">
        <f>'[2]Country populations'!A169</f>
        <v>Somalia</v>
      </c>
      <c r="B168" s="40">
        <f>IF([2]Setup!$B$19=[2]Setup!$T$19,'[2]Country populations'!B169,'[2]Country populations'!M169)</f>
        <v>31082</v>
      </c>
      <c r="C168" s="40">
        <f>IF([2]Setup!$B$19=[2]Setup!$T$19,'[2]Country populations'!C169,'[2]Country populations'!N169)</f>
        <v>32430</v>
      </c>
      <c r="D168" s="40">
        <f>IF([2]Setup!$B$19=[2]Setup!$T$19,'[2]Country populations'!D169,'[2]Country populations'!O169)</f>
        <v>33959</v>
      </c>
      <c r="E168" s="40">
        <f>IF([2]Setup!$B$19=[2]Setup!$T$19,'[2]Country populations'!E169,'[2]Country populations'!P169)</f>
        <v>35675</v>
      </c>
      <c r="F168" s="40">
        <f>IF([2]Setup!$B$19=[2]Setup!$T$19,'[2]Country populations'!F169,'[2]Country populations'!Q169)</f>
        <v>37573</v>
      </c>
      <c r="G168" s="40">
        <f>IF([2]Setup!$B$19=[2]Setup!$T$19,'[2]Country populations'!G169,'[2]Country populations'!R169)</f>
        <v>39629</v>
      </c>
      <c r="H168" s="40">
        <f>IF([2]Setup!$B$19=[2]Setup!$T$19,'[2]Country populations'!H169,'[2]Country populations'!S169)</f>
        <v>41813</v>
      </c>
      <c r="I168" s="40">
        <f>IF([2]Setup!$B$19=[2]Setup!$T$19,'[2]Country populations'!I169,'[2]Country populations'!T169)</f>
        <v>44020</v>
      </c>
      <c r="J168" s="40">
        <f>IF([2]Setup!$B$19=[2]Setup!$T$19,'[2]Country populations'!J169,'[2]Country populations'!U169)</f>
        <v>46247</v>
      </c>
      <c r="K168" s="40">
        <f>IF([2]Setup!$B$19=[2]Setup!$T$19,'[2]Country populations'!K169,'[2]Country populations'!V169)</f>
        <v>48500</v>
      </c>
      <c r="L168" s="40">
        <f>IF([2]Setup!$B$19=[2]Setup!$T$19,'[2]Country populations'!L169,'[2]Country populations'!W169)</f>
        <v>50789</v>
      </c>
      <c r="M168" s="40" t="str">
        <f t="shared" si="6"/>
        <v>Somalia</v>
      </c>
      <c r="N168" s="40">
        <f>IF([2]Setup!$B$20=[2]Setup!$U$19,'[2]Country populations'!X169,'[2]Country populations'!AI169)</f>
        <v>5412</v>
      </c>
      <c r="O168" s="40">
        <f>IF([2]Setup!$B$20=[2]Setup!$U$19,'[2]Country populations'!Y169,'[2]Country populations'!AJ169)</f>
        <v>5548</v>
      </c>
      <c r="P168" s="40">
        <f>IF([2]Setup!$B$20=[2]Setup!$U$19,'[2]Country populations'!Z169,'[2]Country populations'!AK169)</f>
        <v>5682</v>
      </c>
      <c r="Q168" s="40">
        <f>IF([2]Setup!$B$20=[2]Setup!$U$19,'[2]Country populations'!AA169,'[2]Country populations'!AL169)</f>
        <v>5808</v>
      </c>
      <c r="R168" s="40">
        <f>IF([2]Setup!$B$20=[2]Setup!$U$19,'[2]Country populations'!AB169,'[2]Country populations'!AM169)</f>
        <v>5927</v>
      </c>
      <c r="S168" s="40">
        <f>IF([2]Setup!$B$20=[2]Setup!$U$19,'[2]Country populations'!AC169,'[2]Country populations'!AN169)</f>
        <v>6075</v>
      </c>
      <c r="T168" s="40">
        <f>IF([2]Setup!$B$20=[2]Setup!$U$19,'[2]Country populations'!AD169,'[2]Country populations'!AO169)</f>
        <v>6374</v>
      </c>
      <c r="U168" s="40">
        <f>IF([2]Setup!$B$20=[2]Setup!$U$19,'[2]Country populations'!AE169,'[2]Country populations'!AP169)</f>
        <v>6762</v>
      </c>
      <c r="V168" s="40">
        <f>IF([2]Setup!$B$20=[2]Setup!$U$19,'[2]Country populations'!AF169,'[2]Country populations'!AQ169)</f>
        <v>7153</v>
      </c>
      <c r="W168" s="40">
        <f>IF([2]Setup!$B$20=[2]Setup!$U$19,'[2]Country populations'!AG169,'[2]Country populations'!AR169)</f>
        <v>7563</v>
      </c>
      <c r="X168" s="40">
        <f>IF([2]Setup!$B$20=[2]Setup!$U$19,'[2]Country populations'!AH169,'[2]Country populations'!AS169)</f>
        <v>7974</v>
      </c>
      <c r="Y168" s="40" t="str">
        <f t="shared" si="7"/>
        <v>Somalia</v>
      </c>
      <c r="Z168" s="40">
        <f>IF([2]Setup!$B$21=[2]Setup!$V$19,'[2]Country populations'!AT169,'[2]Country populations'!BE169)</f>
        <v>2146</v>
      </c>
      <c r="AA168" s="40">
        <f>IF([2]Setup!$B$21=[2]Setup!$V$19,'[2]Country populations'!AU169,'[2]Country populations'!BF169)</f>
        <v>2222</v>
      </c>
      <c r="AB168" s="40">
        <f>IF([2]Setup!$B$21=[2]Setup!$V$19,'[2]Country populations'!AV169,'[2]Country populations'!BG169)</f>
        <v>2306</v>
      </c>
      <c r="AC168" s="40">
        <f>IF([2]Setup!$B$21=[2]Setup!$V$19,'[2]Country populations'!AW169,'[2]Country populations'!BH169)</f>
        <v>2399</v>
      </c>
      <c r="AD168" s="40">
        <f>IF([2]Setup!$B$21=[2]Setup!$V$19,'[2]Country populations'!AX169,'[2]Country populations'!BI169)</f>
        <v>2501</v>
      </c>
      <c r="AE168" s="40">
        <f>IF([2]Setup!$B$21=[2]Setup!$V$19,'[2]Country populations'!AY169,'[2]Country populations'!BJ169)</f>
        <v>2612</v>
      </c>
      <c r="AF168" s="40">
        <f>IF([2]Setup!$B$21=[2]Setup!$V$19,'[2]Country populations'!AZ169,'[2]Country populations'!BK169)</f>
        <v>2707</v>
      </c>
      <c r="AG168" s="40">
        <f>IF([2]Setup!$B$21=[2]Setup!$V$19,'[2]Country populations'!BA169,'[2]Country populations'!BL169)</f>
        <v>2780</v>
      </c>
      <c r="AH168" s="40">
        <f>IF([2]Setup!$B$21=[2]Setup!$V$19,'[2]Country populations'!BB169,'[2]Country populations'!BM169)</f>
        <v>2846</v>
      </c>
      <c r="AI168" s="40">
        <f>IF([2]Setup!$B$21=[2]Setup!$V$19,'[2]Country populations'!BC169,'[2]Country populations'!BN169)</f>
        <v>2904</v>
      </c>
      <c r="AJ168" s="40">
        <f>IF([2]Setup!$B$21=[2]Setup!$V$19,'[2]Country populations'!BD169,'[2]Country populations'!BO169)</f>
        <v>2955</v>
      </c>
    </row>
    <row r="169" spans="1:36" x14ac:dyDescent="0.25">
      <c r="A169" t="str">
        <f>'[2]Country populations'!A170</f>
        <v>South Africa</v>
      </c>
      <c r="B169" s="40">
        <f>IF([2]Setup!$B$19=[2]Setup!$T$19,'[2]Country populations'!B170,'[2]Country populations'!M170)</f>
        <v>6260044</v>
      </c>
      <c r="C169" s="40">
        <f>IF([2]Setup!$B$19=[2]Setup!$T$19,'[2]Country populations'!C170,'[2]Country populations'!N170)</f>
        <v>6432820</v>
      </c>
      <c r="D169" s="40">
        <f>IF([2]Setup!$B$19=[2]Setup!$T$19,'[2]Country populations'!D170,'[2]Country populations'!O170)</f>
        <v>6599101</v>
      </c>
      <c r="E169" s="40">
        <f>IF([2]Setup!$B$19=[2]Setup!$T$19,'[2]Country populations'!E170,'[2]Country populations'!P170)</f>
        <v>6758949</v>
      </c>
      <c r="F169" s="40">
        <f>IF([2]Setup!$B$19=[2]Setup!$T$19,'[2]Country populations'!F170,'[2]Country populations'!Q170)</f>
        <v>6913421</v>
      </c>
      <c r="G169" s="40">
        <f>IF([2]Setup!$B$19=[2]Setup!$T$19,'[2]Country populations'!G170,'[2]Country populations'!R170)</f>
        <v>7064007</v>
      </c>
      <c r="H169" s="40">
        <f>IF([2]Setup!$B$19=[2]Setup!$T$19,'[2]Country populations'!H170,'[2]Country populations'!S170)</f>
        <v>7214302</v>
      </c>
      <c r="I169" s="40">
        <f>IF([2]Setup!$B$19=[2]Setup!$T$19,'[2]Country populations'!I170,'[2]Country populations'!T170)</f>
        <v>7363191</v>
      </c>
      <c r="J169" s="40">
        <f>IF([2]Setup!$B$19=[2]Setup!$T$19,'[2]Country populations'!J170,'[2]Country populations'!U170)</f>
        <v>7509469</v>
      </c>
      <c r="K169" s="40">
        <f>IF([2]Setup!$B$19=[2]Setup!$T$19,'[2]Country populations'!K170,'[2]Country populations'!V170)</f>
        <v>7645718</v>
      </c>
      <c r="L169" s="40">
        <f>IF([2]Setup!$B$19=[2]Setup!$T$19,'[2]Country populations'!L170,'[2]Country populations'!W170)</f>
        <v>7776488</v>
      </c>
      <c r="M169" s="40" t="str">
        <f t="shared" si="6"/>
        <v>South Africa</v>
      </c>
      <c r="N169" s="40">
        <f>IF([2]Setup!$B$20=[2]Setup!$U$19,'[2]Country populations'!X170,'[2]Country populations'!AI170)</f>
        <v>370780</v>
      </c>
      <c r="O169" s="40">
        <f>IF([2]Setup!$B$20=[2]Setup!$U$19,'[2]Country populations'!Y170,'[2]Country populations'!AJ170)</f>
        <v>344767</v>
      </c>
      <c r="P169" s="40">
        <f>IF([2]Setup!$B$20=[2]Setup!$U$19,'[2]Country populations'!Z170,'[2]Country populations'!AK170)</f>
        <v>320167</v>
      </c>
      <c r="Q169" s="40">
        <f>IF([2]Setup!$B$20=[2]Setup!$U$19,'[2]Country populations'!AA170,'[2]Country populations'!AL170)</f>
        <v>294585</v>
      </c>
      <c r="R169" s="40">
        <f>IF([2]Setup!$B$20=[2]Setup!$U$19,'[2]Country populations'!AB170,'[2]Country populations'!AM170)</f>
        <v>268886</v>
      </c>
      <c r="S169" s="40">
        <f>IF([2]Setup!$B$20=[2]Setup!$U$19,'[2]Country populations'!AC170,'[2]Country populations'!AN170)</f>
        <v>243414</v>
      </c>
      <c r="T169" s="40">
        <f>IF([2]Setup!$B$20=[2]Setup!$U$19,'[2]Country populations'!AD170,'[2]Country populations'!AO170)</f>
        <v>215541</v>
      </c>
      <c r="U169" s="40">
        <f>IF([2]Setup!$B$20=[2]Setup!$U$19,'[2]Country populations'!AE170,'[2]Country populations'!AP170)</f>
        <v>187018</v>
      </c>
      <c r="V169" s="40">
        <f>IF([2]Setup!$B$20=[2]Setup!$U$19,'[2]Country populations'!AF170,'[2]Country populations'!AQ170)</f>
        <v>157983</v>
      </c>
      <c r="W169" s="40">
        <f>IF([2]Setup!$B$20=[2]Setup!$U$19,'[2]Country populations'!AG170,'[2]Country populations'!AR170)</f>
        <v>136847</v>
      </c>
      <c r="X169" s="40">
        <f>IF([2]Setup!$B$20=[2]Setup!$U$19,'[2]Country populations'!AH170,'[2]Country populations'!AS170)</f>
        <v>117616</v>
      </c>
      <c r="Y169" s="40" t="str">
        <f t="shared" si="7"/>
        <v>South Africa</v>
      </c>
      <c r="Z169" s="40">
        <f>IF([2]Setup!$B$21=[2]Setup!$V$19,'[2]Country populations'!AT170,'[2]Country populations'!BE170)</f>
        <v>213860</v>
      </c>
      <c r="AA169" s="40">
        <f>IF([2]Setup!$B$21=[2]Setup!$V$19,'[2]Country populations'!AU170,'[2]Country populations'!BF170)</f>
        <v>209455</v>
      </c>
      <c r="AB169" s="40">
        <f>IF([2]Setup!$B$21=[2]Setup!$V$19,'[2]Country populations'!AV170,'[2]Country populations'!BG170)</f>
        <v>204484</v>
      </c>
      <c r="AC169" s="40">
        <f>IF([2]Setup!$B$21=[2]Setup!$V$19,'[2]Country populations'!AW170,'[2]Country populations'!BH170)</f>
        <v>199166</v>
      </c>
      <c r="AD169" s="40">
        <f>IF([2]Setup!$B$21=[2]Setup!$V$19,'[2]Country populations'!AX170,'[2]Country populations'!BI170)</f>
        <v>193786</v>
      </c>
      <c r="AE169" s="40">
        <f>IF([2]Setup!$B$21=[2]Setup!$V$19,'[2]Country populations'!AY170,'[2]Country populations'!BJ170)</f>
        <v>188543</v>
      </c>
      <c r="AF169" s="40">
        <f>IF([2]Setup!$B$21=[2]Setup!$V$19,'[2]Country populations'!AZ170,'[2]Country populations'!BK170)</f>
        <v>183636</v>
      </c>
      <c r="AG169" s="40">
        <f>IF([2]Setup!$B$21=[2]Setup!$V$19,'[2]Country populations'!BA170,'[2]Country populations'!BL170)</f>
        <v>179179</v>
      </c>
      <c r="AH169" s="40">
        <f>IF([2]Setup!$B$21=[2]Setup!$V$19,'[2]Country populations'!BB170,'[2]Country populations'!BM170)</f>
        <v>175186</v>
      </c>
      <c r="AI169" s="40">
        <f>IF([2]Setup!$B$21=[2]Setup!$V$19,'[2]Country populations'!BC170,'[2]Country populations'!BN170)</f>
        <v>171634</v>
      </c>
      <c r="AJ169" s="40">
        <f>IF([2]Setup!$B$21=[2]Setup!$V$19,'[2]Country populations'!BD170,'[2]Country populations'!BO170)</f>
        <v>168458</v>
      </c>
    </row>
    <row r="170" spans="1:36" x14ac:dyDescent="0.25">
      <c r="A170" t="str">
        <f>'[2]Country populations'!A171</f>
        <v>South Sudan</v>
      </c>
      <c r="B170" s="40">
        <f>IF([2]Setup!$B$19=[2]Setup!$T$19,'[2]Country populations'!B171,'[2]Country populations'!M171)</f>
        <v>157189</v>
      </c>
      <c r="C170" s="40">
        <f>IF([2]Setup!$B$19=[2]Setup!$T$19,'[2]Country populations'!C171,'[2]Country populations'!N171)</f>
        <v>163360</v>
      </c>
      <c r="D170" s="40">
        <f>IF([2]Setup!$B$19=[2]Setup!$T$19,'[2]Country populations'!D171,'[2]Country populations'!O171)</f>
        <v>169752</v>
      </c>
      <c r="E170" s="40">
        <f>IF([2]Setup!$B$19=[2]Setup!$T$19,'[2]Country populations'!E171,'[2]Country populations'!P171)</f>
        <v>175763</v>
      </c>
      <c r="F170" s="40">
        <f>IF([2]Setup!$B$19=[2]Setup!$T$19,'[2]Country populations'!F171,'[2]Country populations'!Q171)</f>
        <v>181812</v>
      </c>
      <c r="G170" s="40">
        <f>IF([2]Setup!$B$19=[2]Setup!$T$19,'[2]Country populations'!G171,'[2]Country populations'!R171)</f>
        <v>187926</v>
      </c>
      <c r="H170" s="40">
        <f>IF([2]Setup!$B$19=[2]Setup!$T$19,'[2]Country populations'!H171,'[2]Country populations'!S171)</f>
        <v>194229</v>
      </c>
      <c r="I170" s="40">
        <f>IF([2]Setup!$B$19=[2]Setup!$T$19,'[2]Country populations'!I171,'[2]Country populations'!T171)</f>
        <v>200586</v>
      </c>
      <c r="J170" s="40">
        <f>IF([2]Setup!$B$19=[2]Setup!$T$19,'[2]Country populations'!J171,'[2]Country populations'!U171)</f>
        <v>206983</v>
      </c>
      <c r="K170" s="40">
        <f>IF([2]Setup!$B$19=[2]Setup!$T$19,'[2]Country populations'!K171,'[2]Country populations'!V171)</f>
        <v>213420</v>
      </c>
      <c r="L170" s="40">
        <f>IF([2]Setup!$B$19=[2]Setup!$T$19,'[2]Country populations'!L171,'[2]Country populations'!W171)</f>
        <v>219898</v>
      </c>
      <c r="M170" s="40" t="str">
        <f t="shared" si="6"/>
        <v>South Sudan</v>
      </c>
      <c r="N170" s="40">
        <f>IF([2]Setup!$B$20=[2]Setup!$U$19,'[2]Country populations'!X171,'[2]Country populations'!AI171)</f>
        <v>24534</v>
      </c>
      <c r="O170" s="40">
        <f>IF([2]Setup!$B$20=[2]Setup!$U$19,'[2]Country populations'!Y171,'[2]Country populations'!AJ171)</f>
        <v>25007</v>
      </c>
      <c r="P170" s="40">
        <f>IF([2]Setup!$B$20=[2]Setup!$U$19,'[2]Country populations'!Z171,'[2]Country populations'!AK171)</f>
        <v>25413</v>
      </c>
      <c r="Q170" s="40">
        <f>IF([2]Setup!$B$20=[2]Setup!$U$19,'[2]Country populations'!AA171,'[2]Country populations'!AL171)</f>
        <v>25688</v>
      </c>
      <c r="R170" s="40">
        <f>IF([2]Setup!$B$20=[2]Setup!$U$19,'[2]Country populations'!AB171,'[2]Country populations'!AM171)</f>
        <v>25844</v>
      </c>
      <c r="S170" s="40">
        <f>IF([2]Setup!$B$20=[2]Setup!$U$19,'[2]Country populations'!AC171,'[2]Country populations'!AN171)</f>
        <v>25880</v>
      </c>
      <c r="T170" s="40">
        <f>IF([2]Setup!$B$20=[2]Setup!$U$19,'[2]Country populations'!AD171,'[2]Country populations'!AO171)</f>
        <v>25980</v>
      </c>
      <c r="U170" s="40">
        <f>IF([2]Setup!$B$20=[2]Setup!$U$19,'[2]Country populations'!AE171,'[2]Country populations'!AP171)</f>
        <v>25975</v>
      </c>
      <c r="V170" s="40">
        <f>IF([2]Setup!$B$20=[2]Setup!$U$19,'[2]Country populations'!AF171,'[2]Country populations'!AQ171)</f>
        <v>25786</v>
      </c>
      <c r="W170" s="40">
        <f>IF([2]Setup!$B$20=[2]Setup!$U$19,'[2]Country populations'!AG171,'[2]Country populations'!AR171)</f>
        <v>25532</v>
      </c>
      <c r="X170" s="40">
        <f>IF([2]Setup!$B$20=[2]Setup!$U$19,'[2]Country populations'!AH171,'[2]Country populations'!AS171)</f>
        <v>25236</v>
      </c>
      <c r="Y170" s="40" t="str">
        <f t="shared" si="7"/>
        <v>South Sudan</v>
      </c>
      <c r="Z170" s="40">
        <f>IF([2]Setup!$B$21=[2]Setup!$V$19,'[2]Country populations'!AT171,'[2]Country populations'!BE171)</f>
        <v>9625</v>
      </c>
      <c r="AA170" s="40">
        <f>IF([2]Setup!$B$21=[2]Setup!$V$19,'[2]Country populations'!AU171,'[2]Country populations'!BF171)</f>
        <v>9883</v>
      </c>
      <c r="AB170" s="40">
        <f>IF([2]Setup!$B$21=[2]Setup!$V$19,'[2]Country populations'!AV171,'[2]Country populations'!BG171)</f>
        <v>10118</v>
      </c>
      <c r="AC170" s="40">
        <f>IF([2]Setup!$B$21=[2]Setup!$V$19,'[2]Country populations'!AW171,'[2]Country populations'!BH171)</f>
        <v>10268</v>
      </c>
      <c r="AD170" s="40">
        <f>IF([2]Setup!$B$21=[2]Setup!$V$19,'[2]Country populations'!AX171,'[2]Country populations'!BI171)</f>
        <v>10330</v>
      </c>
      <c r="AE170" s="40">
        <f>IF([2]Setup!$B$21=[2]Setup!$V$19,'[2]Country populations'!AY171,'[2]Country populations'!BJ171)</f>
        <v>10382</v>
      </c>
      <c r="AF170" s="40">
        <f>IF([2]Setup!$B$21=[2]Setup!$V$19,'[2]Country populations'!AZ171,'[2]Country populations'!BK171)</f>
        <v>10373</v>
      </c>
      <c r="AG170" s="40">
        <f>IF([2]Setup!$B$21=[2]Setup!$V$19,'[2]Country populations'!BA171,'[2]Country populations'!BL171)</f>
        <v>10297</v>
      </c>
      <c r="AH170" s="40">
        <f>IF([2]Setup!$B$21=[2]Setup!$V$19,'[2]Country populations'!BB171,'[2]Country populations'!BM171)</f>
        <v>10200</v>
      </c>
      <c r="AI170" s="40">
        <f>IF([2]Setup!$B$21=[2]Setup!$V$19,'[2]Country populations'!BC171,'[2]Country populations'!BN171)</f>
        <v>10088</v>
      </c>
      <c r="AJ170" s="40">
        <f>IF([2]Setup!$B$21=[2]Setup!$V$19,'[2]Country populations'!BD171,'[2]Country populations'!BO171)</f>
        <v>9969</v>
      </c>
    </row>
    <row r="171" spans="1:36" x14ac:dyDescent="0.25">
      <c r="A171" t="str">
        <f>'[2]Country populations'!A172</f>
        <v>Spain</v>
      </c>
      <c r="B171" s="40">
        <f>IF([2]Setup!$B$19=[2]Setup!$T$19,'[2]Country populations'!B172,'[2]Country populations'!M172)</f>
        <v>121368</v>
      </c>
      <c r="C171" s="40">
        <f>IF([2]Setup!$B$19=[2]Setup!$T$19,'[2]Country populations'!C172,'[2]Country populations'!N172)</f>
        <v>123664</v>
      </c>
      <c r="D171" s="40">
        <f>IF([2]Setup!$B$19=[2]Setup!$T$19,'[2]Country populations'!D172,'[2]Country populations'!O172)</f>
        <v>125900</v>
      </c>
      <c r="E171" s="40">
        <f>IF([2]Setup!$B$19=[2]Setup!$T$19,'[2]Country populations'!E172,'[2]Country populations'!P172)</f>
        <v>128083</v>
      </c>
      <c r="F171" s="40">
        <f>IF([2]Setup!$B$19=[2]Setup!$T$19,'[2]Country populations'!F172,'[2]Country populations'!Q172)</f>
        <v>130214</v>
      </c>
      <c r="G171" s="40">
        <f>IF([2]Setup!$B$19=[2]Setup!$T$19,'[2]Country populations'!G172,'[2]Country populations'!R172)</f>
        <v>132293</v>
      </c>
      <c r="H171" s="40">
        <f>IF([2]Setup!$B$19=[2]Setup!$T$19,'[2]Country populations'!H172,'[2]Country populations'!S172)</f>
        <v>134316</v>
      </c>
      <c r="I171" s="40">
        <f>IF([2]Setup!$B$19=[2]Setup!$T$19,'[2]Country populations'!I172,'[2]Country populations'!T172)</f>
        <v>136277</v>
      </c>
      <c r="J171" s="40">
        <f>IF([2]Setup!$B$19=[2]Setup!$T$19,'[2]Country populations'!J172,'[2]Country populations'!U172)</f>
        <v>138172</v>
      </c>
      <c r="K171" s="40">
        <f>IF([2]Setup!$B$19=[2]Setup!$T$19,'[2]Country populations'!K172,'[2]Country populations'!V172)</f>
        <v>139994</v>
      </c>
      <c r="L171" s="40">
        <f>IF([2]Setup!$B$19=[2]Setup!$T$19,'[2]Country populations'!L172,'[2]Country populations'!W172)</f>
        <v>141739</v>
      </c>
      <c r="M171" s="40" t="str">
        <f t="shared" si="6"/>
        <v>Spain</v>
      </c>
      <c r="N171" s="40">
        <f>IF([2]Setup!$B$20=[2]Setup!$U$19,'[2]Country populations'!X172,'[2]Country populations'!AI172)</f>
        <v>300</v>
      </c>
      <c r="O171" s="40">
        <f>IF([2]Setup!$B$20=[2]Setup!$U$19,'[2]Country populations'!Y172,'[2]Country populations'!AJ172)</f>
        <v>336</v>
      </c>
      <c r="P171" s="40">
        <f>IF([2]Setup!$B$20=[2]Setup!$U$19,'[2]Country populations'!Z172,'[2]Country populations'!AK172)</f>
        <v>377</v>
      </c>
      <c r="Q171" s="40">
        <f>IF([2]Setup!$B$20=[2]Setup!$U$19,'[2]Country populations'!AA172,'[2]Country populations'!AL172)</f>
        <v>427</v>
      </c>
      <c r="R171" s="40">
        <f>IF([2]Setup!$B$20=[2]Setup!$U$19,'[2]Country populations'!AB172,'[2]Country populations'!AM172)</f>
        <v>479</v>
      </c>
      <c r="S171" s="40">
        <f>IF([2]Setup!$B$20=[2]Setup!$U$19,'[2]Country populations'!AC172,'[2]Country populations'!AN172)</f>
        <v>535</v>
      </c>
      <c r="T171" s="40">
        <f>IF([2]Setup!$B$20=[2]Setup!$U$19,'[2]Country populations'!AD172,'[2]Country populations'!AO172)</f>
        <v>589</v>
      </c>
      <c r="U171" s="40">
        <f>IF([2]Setup!$B$20=[2]Setup!$U$19,'[2]Country populations'!AE172,'[2]Country populations'!AP172)</f>
        <v>641</v>
      </c>
      <c r="V171" s="40">
        <f>IF([2]Setup!$B$20=[2]Setup!$U$19,'[2]Country populations'!AF172,'[2]Country populations'!AQ172)</f>
        <v>693</v>
      </c>
      <c r="W171" s="40">
        <f>IF([2]Setup!$B$20=[2]Setup!$U$19,'[2]Country populations'!AG172,'[2]Country populations'!AR172)</f>
        <v>742</v>
      </c>
      <c r="X171" s="40">
        <f>IF([2]Setup!$B$20=[2]Setup!$U$19,'[2]Country populations'!AH172,'[2]Country populations'!AS172)</f>
        <v>788</v>
      </c>
      <c r="Y171" s="40" t="str">
        <f t="shared" si="7"/>
        <v>Spain</v>
      </c>
      <c r="Z171" s="40">
        <f>IF([2]Setup!$B$21=[2]Setup!$V$19,'[2]Country populations'!AT172,'[2]Country populations'!BE172)</f>
        <v>430</v>
      </c>
      <c r="AA171" s="40">
        <f>IF([2]Setup!$B$21=[2]Setup!$V$19,'[2]Country populations'!AU172,'[2]Country populations'!BF172)</f>
        <v>419</v>
      </c>
      <c r="AB171" s="40">
        <f>IF([2]Setup!$B$21=[2]Setup!$V$19,'[2]Country populations'!AV172,'[2]Country populations'!BG172)</f>
        <v>410</v>
      </c>
      <c r="AC171" s="40">
        <f>IF([2]Setup!$B$21=[2]Setup!$V$19,'[2]Country populations'!AW172,'[2]Country populations'!BH172)</f>
        <v>404</v>
      </c>
      <c r="AD171" s="40">
        <f>IF([2]Setup!$B$21=[2]Setup!$V$19,'[2]Country populations'!AX172,'[2]Country populations'!BI172)</f>
        <v>399</v>
      </c>
      <c r="AE171" s="40">
        <f>IF([2]Setup!$B$21=[2]Setup!$V$19,'[2]Country populations'!AY172,'[2]Country populations'!BJ172)</f>
        <v>395</v>
      </c>
      <c r="AF171" s="40">
        <f>IF([2]Setup!$B$21=[2]Setup!$V$19,'[2]Country populations'!AZ172,'[2]Country populations'!BK172)</f>
        <v>392</v>
      </c>
      <c r="AG171" s="40">
        <f>IF([2]Setup!$B$21=[2]Setup!$V$19,'[2]Country populations'!BA172,'[2]Country populations'!BL172)</f>
        <v>390</v>
      </c>
      <c r="AH171" s="40">
        <f>IF([2]Setup!$B$21=[2]Setup!$V$19,'[2]Country populations'!BB172,'[2]Country populations'!BM172)</f>
        <v>389</v>
      </c>
      <c r="AI171" s="40">
        <f>IF([2]Setup!$B$21=[2]Setup!$V$19,'[2]Country populations'!BC172,'[2]Country populations'!BN172)</f>
        <v>389</v>
      </c>
      <c r="AJ171" s="40">
        <f>IF([2]Setup!$B$21=[2]Setup!$V$19,'[2]Country populations'!BD172,'[2]Country populations'!BO172)</f>
        <v>387</v>
      </c>
    </row>
    <row r="172" spans="1:36" x14ac:dyDescent="0.25">
      <c r="A172" t="str">
        <f>'[2]Country populations'!A173</f>
        <v>Sri Lanka</v>
      </c>
      <c r="B172" s="40">
        <f>IF([2]Setup!$B$19=[2]Setup!$T$19,'[2]Country populations'!B173,'[2]Country populations'!M173)</f>
        <v>3969</v>
      </c>
      <c r="C172" s="40">
        <f>IF([2]Setup!$B$19=[2]Setup!$T$19,'[2]Country populations'!C173,'[2]Country populations'!N173)</f>
        <v>4388</v>
      </c>
      <c r="D172" s="40">
        <f>IF([2]Setup!$B$19=[2]Setup!$T$19,'[2]Country populations'!D173,'[2]Country populations'!O173)</f>
        <v>4766</v>
      </c>
      <c r="E172" s="40">
        <f>IF([2]Setup!$B$19=[2]Setup!$T$19,'[2]Country populations'!E173,'[2]Country populations'!P173)</f>
        <v>5117</v>
      </c>
      <c r="F172" s="40">
        <f>IF([2]Setup!$B$19=[2]Setup!$T$19,'[2]Country populations'!F173,'[2]Country populations'!Q173)</f>
        <v>5457</v>
      </c>
      <c r="G172" s="40">
        <f>IF([2]Setup!$B$19=[2]Setup!$T$19,'[2]Country populations'!G173,'[2]Country populations'!R173)</f>
        <v>5802</v>
      </c>
      <c r="H172" s="40">
        <f>IF([2]Setup!$B$19=[2]Setup!$T$19,'[2]Country populations'!H173,'[2]Country populations'!S173)</f>
        <v>6116</v>
      </c>
      <c r="I172" s="40">
        <f>IF([2]Setup!$B$19=[2]Setup!$T$19,'[2]Country populations'!I173,'[2]Country populations'!T173)</f>
        <v>6406</v>
      </c>
      <c r="J172" s="40">
        <f>IF([2]Setup!$B$19=[2]Setup!$T$19,'[2]Country populations'!J173,'[2]Country populations'!U173)</f>
        <v>6671</v>
      </c>
      <c r="K172" s="40">
        <f>IF([2]Setup!$B$19=[2]Setup!$T$19,'[2]Country populations'!K173,'[2]Country populations'!V173)</f>
        <v>6912</v>
      </c>
      <c r="L172" s="40">
        <f>IF([2]Setup!$B$19=[2]Setup!$T$19,'[2]Country populations'!L173,'[2]Country populations'!W173)</f>
        <v>7130</v>
      </c>
      <c r="M172" s="40" t="str">
        <f t="shared" si="6"/>
        <v>Sri Lanka</v>
      </c>
      <c r="N172" s="40">
        <f>IF([2]Setup!$B$20=[2]Setup!$U$19,'[2]Country populations'!X173,'[2]Country populations'!AI173)</f>
        <v>93</v>
      </c>
      <c r="O172" s="40">
        <f>IF([2]Setup!$B$20=[2]Setup!$U$19,'[2]Country populations'!Y173,'[2]Country populations'!AJ173)</f>
        <v>102</v>
      </c>
      <c r="P172" s="40">
        <f>IF([2]Setup!$B$20=[2]Setup!$U$19,'[2]Country populations'!Z173,'[2]Country populations'!AK173)</f>
        <v>111</v>
      </c>
      <c r="Q172" s="40">
        <f>IF([2]Setup!$B$20=[2]Setup!$U$19,'[2]Country populations'!AA173,'[2]Country populations'!AL173)</f>
        <v>121</v>
      </c>
      <c r="R172" s="40">
        <f>IF([2]Setup!$B$20=[2]Setup!$U$19,'[2]Country populations'!AB173,'[2]Country populations'!AM173)</f>
        <v>131</v>
      </c>
      <c r="S172" s="40">
        <f>IF([2]Setup!$B$20=[2]Setup!$U$19,'[2]Country populations'!AC173,'[2]Country populations'!AN173)</f>
        <v>141</v>
      </c>
      <c r="T172" s="40">
        <f>IF([2]Setup!$B$20=[2]Setup!$U$19,'[2]Country populations'!AD173,'[2]Country populations'!AO173)</f>
        <v>151</v>
      </c>
      <c r="U172" s="40">
        <f>IF([2]Setup!$B$20=[2]Setup!$U$19,'[2]Country populations'!AE173,'[2]Country populations'!AP173)</f>
        <v>160</v>
      </c>
      <c r="V172" s="40">
        <f>IF([2]Setup!$B$20=[2]Setup!$U$19,'[2]Country populations'!AF173,'[2]Country populations'!AQ173)</f>
        <v>169</v>
      </c>
      <c r="W172" s="40">
        <f>IF([2]Setup!$B$20=[2]Setup!$U$19,'[2]Country populations'!AG173,'[2]Country populations'!AR173)</f>
        <v>178</v>
      </c>
      <c r="X172" s="40">
        <f>IF([2]Setup!$B$20=[2]Setup!$U$19,'[2]Country populations'!AH173,'[2]Country populations'!AS173)</f>
        <v>185</v>
      </c>
      <c r="Y172" s="40" t="str">
        <f t="shared" si="7"/>
        <v>Sri Lanka</v>
      </c>
      <c r="Z172" s="40">
        <f>IF([2]Setup!$B$21=[2]Setup!$V$19,'[2]Country populations'!AT173,'[2]Country populations'!BE173)</f>
        <v>58</v>
      </c>
      <c r="AA172" s="40">
        <f>IF([2]Setup!$B$21=[2]Setup!$V$19,'[2]Country populations'!AU173,'[2]Country populations'!BF173)</f>
        <v>63</v>
      </c>
      <c r="AB172" s="40">
        <f>IF([2]Setup!$B$21=[2]Setup!$V$19,'[2]Country populations'!AV173,'[2]Country populations'!BG173)</f>
        <v>68</v>
      </c>
      <c r="AC172" s="40">
        <f>IF([2]Setup!$B$21=[2]Setup!$V$19,'[2]Country populations'!AW173,'[2]Country populations'!BH173)</f>
        <v>72</v>
      </c>
      <c r="AD172" s="40">
        <f>IF([2]Setup!$B$21=[2]Setup!$V$19,'[2]Country populations'!AX173,'[2]Country populations'!BI173)</f>
        <v>76</v>
      </c>
      <c r="AE172" s="40">
        <f>IF([2]Setup!$B$21=[2]Setup!$V$19,'[2]Country populations'!AY173,'[2]Country populations'!BJ173)</f>
        <v>79</v>
      </c>
      <c r="AF172" s="40">
        <f>IF([2]Setup!$B$21=[2]Setup!$V$19,'[2]Country populations'!AZ173,'[2]Country populations'!BK173)</f>
        <v>83</v>
      </c>
      <c r="AG172" s="40">
        <f>IF([2]Setup!$B$21=[2]Setup!$V$19,'[2]Country populations'!BA173,'[2]Country populations'!BL173)</f>
        <v>86</v>
      </c>
      <c r="AH172" s="40">
        <f>IF([2]Setup!$B$21=[2]Setup!$V$19,'[2]Country populations'!BB173,'[2]Country populations'!BM173)</f>
        <v>89</v>
      </c>
      <c r="AI172" s="40">
        <f>IF([2]Setup!$B$21=[2]Setup!$V$19,'[2]Country populations'!BC173,'[2]Country populations'!BN173)</f>
        <v>91</v>
      </c>
      <c r="AJ172" s="40">
        <f>IF([2]Setup!$B$21=[2]Setup!$V$19,'[2]Country populations'!BD173,'[2]Country populations'!BO173)</f>
        <v>93</v>
      </c>
    </row>
    <row r="173" spans="1:36" x14ac:dyDescent="0.25">
      <c r="A173" t="str">
        <f>'[2]Country populations'!A174</f>
        <v>Sub-Saharan Africa</v>
      </c>
      <c r="B173" s="40">
        <f>IF([2]Setup!$B$19=[2]Setup!$T$19,'[2]Country populations'!B174,'[2]Country populations'!M174)</f>
        <v>0</v>
      </c>
      <c r="C173" s="40">
        <f>IF([2]Setup!$B$19=[2]Setup!$T$19,'[2]Country populations'!C174,'[2]Country populations'!N174)</f>
        <v>0</v>
      </c>
      <c r="D173" s="40">
        <f>IF([2]Setup!$B$19=[2]Setup!$T$19,'[2]Country populations'!D174,'[2]Country populations'!O174)</f>
        <v>0</v>
      </c>
      <c r="E173" s="40">
        <f>IF([2]Setup!$B$19=[2]Setup!$T$19,'[2]Country populations'!E174,'[2]Country populations'!P174)</f>
        <v>0</v>
      </c>
      <c r="F173" s="40">
        <f>IF([2]Setup!$B$19=[2]Setup!$T$19,'[2]Country populations'!F174,'[2]Country populations'!Q174)</f>
        <v>0</v>
      </c>
      <c r="G173" s="40">
        <f>IF([2]Setup!$B$19=[2]Setup!$T$19,'[2]Country populations'!G174,'[2]Country populations'!R174)</f>
        <v>0</v>
      </c>
      <c r="H173" s="40">
        <f>IF([2]Setup!$B$19=[2]Setup!$T$19,'[2]Country populations'!H174,'[2]Country populations'!S174)</f>
        <v>0</v>
      </c>
      <c r="I173" s="40">
        <f>IF([2]Setup!$B$19=[2]Setup!$T$19,'[2]Country populations'!I174,'[2]Country populations'!T174)</f>
        <v>0</v>
      </c>
      <c r="J173" s="40">
        <f>IF([2]Setup!$B$19=[2]Setup!$T$19,'[2]Country populations'!J174,'[2]Country populations'!U174)</f>
        <v>0</v>
      </c>
      <c r="K173" s="40">
        <f>IF([2]Setup!$B$19=[2]Setup!$T$19,'[2]Country populations'!K174,'[2]Country populations'!V174)</f>
        <v>0</v>
      </c>
      <c r="L173" s="40">
        <f>IF([2]Setup!$B$19=[2]Setup!$T$19,'[2]Country populations'!L174,'[2]Country populations'!W174)</f>
        <v>0</v>
      </c>
      <c r="M173" s="40" t="str">
        <f t="shared" si="6"/>
        <v>Sub-Saharan Africa</v>
      </c>
      <c r="N173" s="40">
        <f>IF([2]Setup!$B$20=[2]Setup!$U$19,'[2]Country populations'!X174,'[2]Country populations'!AI174)</f>
        <v>0</v>
      </c>
      <c r="O173" s="40">
        <f>IF([2]Setup!$B$20=[2]Setup!$U$19,'[2]Country populations'!Y174,'[2]Country populations'!AJ174)</f>
        <v>0</v>
      </c>
      <c r="P173" s="40">
        <f>IF([2]Setup!$B$20=[2]Setup!$U$19,'[2]Country populations'!Z174,'[2]Country populations'!AK174)</f>
        <v>0</v>
      </c>
      <c r="Q173" s="40">
        <f>IF([2]Setup!$B$20=[2]Setup!$U$19,'[2]Country populations'!AA174,'[2]Country populations'!AL174)</f>
        <v>0</v>
      </c>
      <c r="R173" s="40">
        <f>IF([2]Setup!$B$20=[2]Setup!$U$19,'[2]Country populations'!AB174,'[2]Country populations'!AM174)</f>
        <v>0</v>
      </c>
      <c r="S173" s="40">
        <f>IF([2]Setup!$B$20=[2]Setup!$U$19,'[2]Country populations'!AC174,'[2]Country populations'!AN174)</f>
        <v>0</v>
      </c>
      <c r="T173" s="40">
        <f>IF([2]Setup!$B$20=[2]Setup!$U$19,'[2]Country populations'!AD174,'[2]Country populations'!AO174)</f>
        <v>0</v>
      </c>
      <c r="U173" s="40">
        <f>IF([2]Setup!$B$20=[2]Setup!$U$19,'[2]Country populations'!AE174,'[2]Country populations'!AP174)</f>
        <v>0</v>
      </c>
      <c r="V173" s="40">
        <f>IF([2]Setup!$B$20=[2]Setup!$U$19,'[2]Country populations'!AF174,'[2]Country populations'!AQ174)</f>
        <v>0</v>
      </c>
      <c r="W173" s="40">
        <f>IF([2]Setup!$B$20=[2]Setup!$U$19,'[2]Country populations'!AG174,'[2]Country populations'!AR174)</f>
        <v>0</v>
      </c>
      <c r="X173" s="40">
        <f>IF([2]Setup!$B$20=[2]Setup!$U$19,'[2]Country populations'!AH174,'[2]Country populations'!AS174)</f>
        <v>0</v>
      </c>
      <c r="Y173" s="40" t="str">
        <f t="shared" si="7"/>
        <v>Sub-Saharan Africa</v>
      </c>
      <c r="Z173" s="40">
        <f>IF([2]Setup!$B$21=[2]Setup!$V$19,'[2]Country populations'!AT174,'[2]Country populations'!BE174)</f>
        <v>0</v>
      </c>
      <c r="AA173" s="40">
        <f>IF([2]Setup!$B$21=[2]Setup!$V$19,'[2]Country populations'!AU174,'[2]Country populations'!BF174)</f>
        <v>0</v>
      </c>
      <c r="AB173" s="40">
        <f>IF([2]Setup!$B$21=[2]Setup!$V$19,'[2]Country populations'!AV174,'[2]Country populations'!BG174)</f>
        <v>0</v>
      </c>
      <c r="AC173" s="40">
        <f>IF([2]Setup!$B$21=[2]Setup!$V$19,'[2]Country populations'!AW174,'[2]Country populations'!BH174)</f>
        <v>0</v>
      </c>
      <c r="AD173" s="40">
        <f>IF([2]Setup!$B$21=[2]Setup!$V$19,'[2]Country populations'!AX174,'[2]Country populations'!BI174)</f>
        <v>0</v>
      </c>
      <c r="AE173" s="40">
        <f>IF([2]Setup!$B$21=[2]Setup!$V$19,'[2]Country populations'!AY174,'[2]Country populations'!BJ174)</f>
        <v>0</v>
      </c>
      <c r="AF173" s="40">
        <f>IF([2]Setup!$B$21=[2]Setup!$V$19,'[2]Country populations'!AZ174,'[2]Country populations'!BK174)</f>
        <v>0</v>
      </c>
      <c r="AG173" s="40">
        <f>IF([2]Setup!$B$21=[2]Setup!$V$19,'[2]Country populations'!BA174,'[2]Country populations'!BL174)</f>
        <v>0</v>
      </c>
      <c r="AH173" s="40">
        <f>IF([2]Setup!$B$21=[2]Setup!$V$19,'[2]Country populations'!BB174,'[2]Country populations'!BM174)</f>
        <v>0</v>
      </c>
      <c r="AI173" s="40">
        <f>IF([2]Setup!$B$21=[2]Setup!$V$19,'[2]Country populations'!BC174,'[2]Country populations'!BN174)</f>
        <v>0</v>
      </c>
      <c r="AJ173" s="40">
        <f>IF([2]Setup!$B$21=[2]Setup!$V$19,'[2]Country populations'!BD174,'[2]Country populations'!BO174)</f>
        <v>0</v>
      </c>
    </row>
    <row r="174" spans="1:36" x14ac:dyDescent="0.25">
      <c r="A174" t="str">
        <f>'[2]Country populations'!A175</f>
        <v>Sudan</v>
      </c>
      <c r="B174" s="40">
        <f>IF([2]Setup!$B$19=[2]Setup!$T$19,'[2]Country populations'!B175,'[2]Country populations'!M175)</f>
        <v>51370</v>
      </c>
      <c r="C174" s="40">
        <f>IF([2]Setup!$B$19=[2]Setup!$T$19,'[2]Country populations'!C175,'[2]Country populations'!N175)</f>
        <v>53311</v>
      </c>
      <c r="D174" s="40">
        <f>IF([2]Setup!$B$19=[2]Setup!$T$19,'[2]Country populations'!D175,'[2]Country populations'!O175)</f>
        <v>55129</v>
      </c>
      <c r="E174" s="40">
        <f>IF([2]Setup!$B$19=[2]Setup!$T$19,'[2]Country populations'!E175,'[2]Country populations'!P175)</f>
        <v>56799</v>
      </c>
      <c r="F174" s="40">
        <f>IF([2]Setup!$B$19=[2]Setup!$T$19,'[2]Country populations'!F175,'[2]Country populations'!Q175)</f>
        <v>58367</v>
      </c>
      <c r="G174" s="40">
        <f>IF([2]Setup!$B$19=[2]Setup!$T$19,'[2]Country populations'!G175,'[2]Country populations'!R175)</f>
        <v>59832</v>
      </c>
      <c r="H174" s="40">
        <f>IF([2]Setup!$B$19=[2]Setup!$T$19,'[2]Country populations'!H175,'[2]Country populations'!S175)</f>
        <v>61252</v>
      </c>
      <c r="I174" s="40">
        <f>IF([2]Setup!$B$19=[2]Setup!$T$19,'[2]Country populations'!I175,'[2]Country populations'!T175)</f>
        <v>62600</v>
      </c>
      <c r="J174" s="40">
        <f>IF([2]Setup!$B$19=[2]Setup!$T$19,'[2]Country populations'!J175,'[2]Country populations'!U175)</f>
        <v>63901</v>
      </c>
      <c r="K174" s="40">
        <f>IF([2]Setup!$B$19=[2]Setup!$T$19,'[2]Country populations'!K175,'[2]Country populations'!V175)</f>
        <v>65165</v>
      </c>
      <c r="L174" s="40">
        <f>IF([2]Setup!$B$19=[2]Setup!$T$19,'[2]Country populations'!L175,'[2]Country populations'!W175)</f>
        <v>66406</v>
      </c>
      <c r="M174" s="40" t="str">
        <f t="shared" si="6"/>
        <v>Sudan</v>
      </c>
      <c r="N174" s="40">
        <f>IF([2]Setup!$B$20=[2]Setup!$U$19,'[2]Country populations'!X175,'[2]Country populations'!AI175)</f>
        <v>4337</v>
      </c>
      <c r="O174" s="40">
        <f>IF([2]Setup!$B$20=[2]Setup!$U$19,'[2]Country populations'!Y175,'[2]Country populations'!AJ175)</f>
        <v>4386</v>
      </c>
      <c r="P174" s="40">
        <f>IF([2]Setup!$B$20=[2]Setup!$U$19,'[2]Country populations'!Z175,'[2]Country populations'!AK175)</f>
        <v>4433</v>
      </c>
      <c r="Q174" s="40">
        <f>IF([2]Setup!$B$20=[2]Setup!$U$19,'[2]Country populations'!AA175,'[2]Country populations'!AL175)</f>
        <v>4440</v>
      </c>
      <c r="R174" s="40">
        <f>IF([2]Setup!$B$20=[2]Setup!$U$19,'[2]Country populations'!AB175,'[2]Country populations'!AM175)</f>
        <v>4429</v>
      </c>
      <c r="S174" s="40">
        <f>IF([2]Setup!$B$20=[2]Setup!$U$19,'[2]Country populations'!AC175,'[2]Country populations'!AN175)</f>
        <v>4396</v>
      </c>
      <c r="T174" s="40">
        <f>IF([2]Setup!$B$20=[2]Setup!$U$19,'[2]Country populations'!AD175,'[2]Country populations'!AO175)</f>
        <v>4359</v>
      </c>
      <c r="U174" s="40">
        <f>IF([2]Setup!$B$20=[2]Setup!$U$19,'[2]Country populations'!AE175,'[2]Country populations'!AP175)</f>
        <v>4296</v>
      </c>
      <c r="V174" s="40">
        <f>IF([2]Setup!$B$20=[2]Setup!$U$19,'[2]Country populations'!AF175,'[2]Country populations'!AQ175)</f>
        <v>4208</v>
      </c>
      <c r="W174" s="40">
        <f>IF([2]Setup!$B$20=[2]Setup!$U$19,'[2]Country populations'!AG175,'[2]Country populations'!AR175)</f>
        <v>4125</v>
      </c>
      <c r="X174" s="40">
        <f>IF([2]Setup!$B$20=[2]Setup!$U$19,'[2]Country populations'!AH175,'[2]Country populations'!AS175)</f>
        <v>4054</v>
      </c>
      <c r="Y174" s="40" t="str">
        <f t="shared" si="7"/>
        <v>Sudan</v>
      </c>
      <c r="Z174" s="40">
        <f>IF([2]Setup!$B$21=[2]Setup!$V$19,'[2]Country populations'!AT175,'[2]Country populations'!BE175)</f>
        <v>2351</v>
      </c>
      <c r="AA174" s="40">
        <f>IF([2]Setup!$B$21=[2]Setup!$V$19,'[2]Country populations'!AU175,'[2]Country populations'!BF175)</f>
        <v>2381</v>
      </c>
      <c r="AB174" s="40">
        <f>IF([2]Setup!$B$21=[2]Setup!$V$19,'[2]Country populations'!AV175,'[2]Country populations'!BG175)</f>
        <v>2392</v>
      </c>
      <c r="AC174" s="40">
        <f>IF([2]Setup!$B$21=[2]Setup!$V$19,'[2]Country populations'!AW175,'[2]Country populations'!BH175)</f>
        <v>2380</v>
      </c>
      <c r="AD174" s="40">
        <f>IF([2]Setup!$B$21=[2]Setup!$V$19,'[2]Country populations'!AX175,'[2]Country populations'!BI175)</f>
        <v>2357</v>
      </c>
      <c r="AE174" s="40">
        <f>IF([2]Setup!$B$21=[2]Setup!$V$19,'[2]Country populations'!AY175,'[2]Country populations'!BJ175)</f>
        <v>2325</v>
      </c>
      <c r="AF174" s="40">
        <f>IF([2]Setup!$B$21=[2]Setup!$V$19,'[2]Country populations'!AZ175,'[2]Country populations'!BK175)</f>
        <v>2282</v>
      </c>
      <c r="AG174" s="40">
        <f>IF([2]Setup!$B$21=[2]Setup!$V$19,'[2]Country populations'!BA175,'[2]Country populations'!BL175)</f>
        <v>2236</v>
      </c>
      <c r="AH174" s="40">
        <f>IF([2]Setup!$B$21=[2]Setup!$V$19,'[2]Country populations'!BB175,'[2]Country populations'!BM175)</f>
        <v>2190</v>
      </c>
      <c r="AI174" s="40">
        <f>IF([2]Setup!$B$21=[2]Setup!$V$19,'[2]Country populations'!BC175,'[2]Country populations'!BN175)</f>
        <v>2147</v>
      </c>
      <c r="AJ174" s="40">
        <f>IF([2]Setup!$B$21=[2]Setup!$V$19,'[2]Country populations'!BD175,'[2]Country populations'!BO175)</f>
        <v>2110</v>
      </c>
    </row>
    <row r="175" spans="1:36" x14ac:dyDescent="0.25">
      <c r="A175" t="str">
        <f>'[2]Country populations'!A176</f>
        <v>Suriname</v>
      </c>
      <c r="B175" s="40">
        <f>IF([2]Setup!$B$19=[2]Setup!$T$19,'[2]Country populations'!B176,'[2]Country populations'!M176)</f>
        <v>3309</v>
      </c>
      <c r="C175" s="40">
        <f>IF([2]Setup!$B$19=[2]Setup!$T$19,'[2]Country populations'!C176,'[2]Country populations'!N176)</f>
        <v>3356</v>
      </c>
      <c r="D175" s="40">
        <f>IF([2]Setup!$B$19=[2]Setup!$T$19,'[2]Country populations'!D176,'[2]Country populations'!O176)</f>
        <v>3399</v>
      </c>
      <c r="E175" s="40">
        <f>IF([2]Setup!$B$19=[2]Setup!$T$19,'[2]Country populations'!E176,'[2]Country populations'!P176)</f>
        <v>3441</v>
      </c>
      <c r="F175" s="40">
        <f>IF([2]Setup!$B$19=[2]Setup!$T$19,'[2]Country populations'!F176,'[2]Country populations'!Q176)</f>
        <v>3483</v>
      </c>
      <c r="G175" s="40">
        <f>IF([2]Setup!$B$19=[2]Setup!$T$19,'[2]Country populations'!G176,'[2]Country populations'!R176)</f>
        <v>3525</v>
      </c>
      <c r="H175" s="40">
        <f>IF([2]Setup!$B$19=[2]Setup!$T$19,'[2]Country populations'!H176,'[2]Country populations'!S176)</f>
        <v>3563</v>
      </c>
      <c r="I175" s="40">
        <f>IF([2]Setup!$B$19=[2]Setup!$T$19,'[2]Country populations'!I176,'[2]Country populations'!T176)</f>
        <v>3598</v>
      </c>
      <c r="J175" s="40">
        <f>IF([2]Setup!$B$19=[2]Setup!$T$19,'[2]Country populations'!J176,'[2]Country populations'!U176)</f>
        <v>3628</v>
      </c>
      <c r="K175" s="40">
        <f>IF([2]Setup!$B$19=[2]Setup!$T$19,'[2]Country populations'!K176,'[2]Country populations'!V176)</f>
        <v>3656</v>
      </c>
      <c r="L175" s="40">
        <f>IF([2]Setup!$B$19=[2]Setup!$T$19,'[2]Country populations'!L176,'[2]Country populations'!W176)</f>
        <v>3682</v>
      </c>
      <c r="M175" s="40" t="str">
        <f t="shared" si="6"/>
        <v>Suriname</v>
      </c>
      <c r="N175" s="40">
        <f>IF([2]Setup!$B$20=[2]Setup!$U$19,'[2]Country populations'!X176,'[2]Country populations'!AI176)</f>
        <v>225</v>
      </c>
      <c r="O175" s="40">
        <f>IF([2]Setup!$B$20=[2]Setup!$U$19,'[2]Country populations'!Y176,'[2]Country populations'!AJ176)</f>
        <v>228</v>
      </c>
      <c r="P175" s="40">
        <f>IF([2]Setup!$B$20=[2]Setup!$U$19,'[2]Country populations'!Z176,'[2]Country populations'!AK176)</f>
        <v>230</v>
      </c>
      <c r="Q175" s="40">
        <f>IF([2]Setup!$B$20=[2]Setup!$U$19,'[2]Country populations'!AA176,'[2]Country populations'!AL176)</f>
        <v>234</v>
      </c>
      <c r="R175" s="40">
        <f>IF([2]Setup!$B$20=[2]Setup!$U$19,'[2]Country populations'!AB176,'[2]Country populations'!AM176)</f>
        <v>237</v>
      </c>
      <c r="S175" s="40">
        <f>IF([2]Setup!$B$20=[2]Setup!$U$19,'[2]Country populations'!AC176,'[2]Country populations'!AN176)</f>
        <v>242</v>
      </c>
      <c r="T175" s="40">
        <f>IF([2]Setup!$B$20=[2]Setup!$U$19,'[2]Country populations'!AD176,'[2]Country populations'!AO176)</f>
        <v>248</v>
      </c>
      <c r="U175" s="40">
        <f>IF([2]Setup!$B$20=[2]Setup!$U$19,'[2]Country populations'!AE176,'[2]Country populations'!AP176)</f>
        <v>256</v>
      </c>
      <c r="V175" s="40">
        <f>IF([2]Setup!$B$20=[2]Setup!$U$19,'[2]Country populations'!AF176,'[2]Country populations'!AQ176)</f>
        <v>266</v>
      </c>
      <c r="W175" s="40">
        <f>IF([2]Setup!$B$20=[2]Setup!$U$19,'[2]Country populations'!AG176,'[2]Country populations'!AR176)</f>
        <v>279</v>
      </c>
      <c r="X175" s="40">
        <f>IF([2]Setup!$B$20=[2]Setup!$U$19,'[2]Country populations'!AH176,'[2]Country populations'!AS176)</f>
        <v>291</v>
      </c>
      <c r="Y175" s="40" t="str">
        <f t="shared" si="7"/>
        <v>Suriname</v>
      </c>
      <c r="Z175" s="40">
        <f>IF([2]Setup!$B$21=[2]Setup!$V$19,'[2]Country populations'!AT176,'[2]Country populations'!BE176)</f>
        <v>49</v>
      </c>
      <c r="AA175" s="40">
        <f>IF([2]Setup!$B$21=[2]Setup!$V$19,'[2]Country populations'!AU176,'[2]Country populations'!BF176)</f>
        <v>48</v>
      </c>
      <c r="AB175" s="40">
        <f>IF([2]Setup!$B$21=[2]Setup!$V$19,'[2]Country populations'!AV176,'[2]Country populations'!BG176)</f>
        <v>46</v>
      </c>
      <c r="AC175" s="40">
        <f>IF([2]Setup!$B$21=[2]Setup!$V$19,'[2]Country populations'!AW176,'[2]Country populations'!BH176)</f>
        <v>46</v>
      </c>
      <c r="AD175" s="40">
        <f>IF([2]Setup!$B$21=[2]Setup!$V$19,'[2]Country populations'!AX176,'[2]Country populations'!BI176)</f>
        <v>45</v>
      </c>
      <c r="AE175" s="40">
        <f>IF([2]Setup!$B$21=[2]Setup!$V$19,'[2]Country populations'!AY176,'[2]Country populations'!BJ176)</f>
        <v>45</v>
      </c>
      <c r="AF175" s="40">
        <f>IF([2]Setup!$B$21=[2]Setup!$V$19,'[2]Country populations'!AZ176,'[2]Country populations'!BK176)</f>
        <v>45</v>
      </c>
      <c r="AG175" s="40">
        <f>IF([2]Setup!$B$21=[2]Setup!$V$19,'[2]Country populations'!BA176,'[2]Country populations'!BL176)</f>
        <v>45</v>
      </c>
      <c r="AH175" s="40">
        <f>IF([2]Setup!$B$21=[2]Setup!$V$19,'[2]Country populations'!BB176,'[2]Country populations'!BM176)</f>
        <v>45</v>
      </c>
      <c r="AI175" s="40">
        <f>IF([2]Setup!$B$21=[2]Setup!$V$19,'[2]Country populations'!BC176,'[2]Country populations'!BN176)</f>
        <v>46</v>
      </c>
      <c r="AJ175" s="40">
        <f>IF([2]Setup!$B$21=[2]Setup!$V$19,'[2]Country populations'!BD176,'[2]Country populations'!BO176)</f>
        <v>46</v>
      </c>
    </row>
    <row r="176" spans="1:36" x14ac:dyDescent="0.25">
      <c r="A176" t="str">
        <f>'[2]Country populations'!A177</f>
        <v>Swaziland</v>
      </c>
      <c r="B176" s="40">
        <f>IF([2]Setup!$B$19=[2]Setup!$T$19,'[2]Country populations'!B177,'[2]Country populations'!M177)</f>
        <v>217016</v>
      </c>
      <c r="C176" s="40">
        <f>IF([2]Setup!$B$19=[2]Setup!$T$19,'[2]Country populations'!C177,'[2]Country populations'!N177)</f>
        <v>217996</v>
      </c>
      <c r="D176" s="40">
        <f>IF([2]Setup!$B$19=[2]Setup!$T$19,'[2]Country populations'!D177,'[2]Country populations'!O177)</f>
        <v>218706</v>
      </c>
      <c r="E176" s="40">
        <f>IF([2]Setup!$B$19=[2]Setup!$T$19,'[2]Country populations'!E177,'[2]Country populations'!P177)</f>
        <v>219368</v>
      </c>
      <c r="F176" s="40">
        <f>IF([2]Setup!$B$19=[2]Setup!$T$19,'[2]Country populations'!F177,'[2]Country populations'!Q177)</f>
        <v>220002</v>
      </c>
      <c r="G176" s="40">
        <f>IF([2]Setup!$B$19=[2]Setup!$T$19,'[2]Country populations'!G177,'[2]Country populations'!R177)</f>
        <v>220667</v>
      </c>
      <c r="H176" s="40">
        <f>IF([2]Setup!$B$19=[2]Setup!$T$19,'[2]Country populations'!H177,'[2]Country populations'!S177)</f>
        <v>221680</v>
      </c>
      <c r="I176" s="40">
        <f>IF([2]Setup!$B$19=[2]Setup!$T$19,'[2]Country populations'!I177,'[2]Country populations'!T177)</f>
        <v>222852</v>
      </c>
      <c r="J176" s="40">
        <f>IF([2]Setup!$B$19=[2]Setup!$T$19,'[2]Country populations'!J177,'[2]Country populations'!U177)</f>
        <v>224116</v>
      </c>
      <c r="K176" s="40">
        <f>IF([2]Setup!$B$19=[2]Setup!$T$19,'[2]Country populations'!K177,'[2]Country populations'!V177)</f>
        <v>225260</v>
      </c>
      <c r="L176" s="40">
        <f>IF([2]Setup!$B$19=[2]Setup!$T$19,'[2]Country populations'!L177,'[2]Country populations'!W177)</f>
        <v>226275</v>
      </c>
      <c r="M176" s="40" t="str">
        <f t="shared" si="6"/>
        <v>Swaziland</v>
      </c>
      <c r="N176" s="40">
        <f>IF([2]Setup!$B$20=[2]Setup!$U$19,'[2]Country populations'!X177,'[2]Country populations'!AI177)</f>
        <v>20819</v>
      </c>
      <c r="O176" s="40">
        <f>IF([2]Setup!$B$20=[2]Setup!$U$19,'[2]Country populations'!Y177,'[2]Country populations'!AJ177)</f>
        <v>20077</v>
      </c>
      <c r="P176" s="40">
        <f>IF([2]Setup!$B$20=[2]Setup!$U$19,'[2]Country populations'!Z177,'[2]Country populations'!AK177)</f>
        <v>19425</v>
      </c>
      <c r="Q176" s="40">
        <f>IF([2]Setup!$B$20=[2]Setup!$U$19,'[2]Country populations'!AA177,'[2]Country populations'!AL177)</f>
        <v>18831</v>
      </c>
      <c r="R176" s="40">
        <f>IF([2]Setup!$B$20=[2]Setup!$U$19,'[2]Country populations'!AB177,'[2]Country populations'!AM177)</f>
        <v>18209</v>
      </c>
      <c r="S176" s="40">
        <f>IF([2]Setup!$B$20=[2]Setup!$U$19,'[2]Country populations'!AC177,'[2]Country populations'!AN177)</f>
        <v>17472</v>
      </c>
      <c r="T176" s="40">
        <f>IF([2]Setup!$B$20=[2]Setup!$U$19,'[2]Country populations'!AD177,'[2]Country populations'!AO177)</f>
        <v>16666</v>
      </c>
      <c r="U176" s="40">
        <f>IF([2]Setup!$B$20=[2]Setup!$U$19,'[2]Country populations'!AE177,'[2]Country populations'!AP177)</f>
        <v>15572</v>
      </c>
      <c r="V176" s="40">
        <f>IF([2]Setup!$B$20=[2]Setup!$U$19,'[2]Country populations'!AF177,'[2]Country populations'!AQ177)</f>
        <v>14246</v>
      </c>
      <c r="W176" s="40">
        <f>IF([2]Setup!$B$20=[2]Setup!$U$19,'[2]Country populations'!AG177,'[2]Country populations'!AR177)</f>
        <v>12972</v>
      </c>
      <c r="X176" s="40">
        <f>IF([2]Setup!$B$20=[2]Setup!$U$19,'[2]Country populations'!AH177,'[2]Country populations'!AS177)</f>
        <v>11837</v>
      </c>
      <c r="Y176" s="40" t="str">
        <f t="shared" si="7"/>
        <v>Swaziland</v>
      </c>
      <c r="Z176" s="40">
        <f>IF([2]Setup!$B$21=[2]Setup!$V$19,'[2]Country populations'!AT177,'[2]Country populations'!BE177)</f>
        <v>11581</v>
      </c>
      <c r="AA176" s="40">
        <f>IF([2]Setup!$B$21=[2]Setup!$V$19,'[2]Country populations'!AU177,'[2]Country populations'!BF177)</f>
        <v>11213</v>
      </c>
      <c r="AB176" s="40">
        <f>IF([2]Setup!$B$21=[2]Setup!$V$19,'[2]Country populations'!AV177,'[2]Country populations'!BG177)</f>
        <v>10790</v>
      </c>
      <c r="AC176" s="40">
        <f>IF([2]Setup!$B$21=[2]Setup!$V$19,'[2]Country populations'!AW177,'[2]Country populations'!BH177)</f>
        <v>10345</v>
      </c>
      <c r="AD176" s="40">
        <f>IF([2]Setup!$B$21=[2]Setup!$V$19,'[2]Country populations'!AX177,'[2]Country populations'!BI177)</f>
        <v>9883</v>
      </c>
      <c r="AE176" s="40">
        <f>IF([2]Setup!$B$21=[2]Setup!$V$19,'[2]Country populations'!AY177,'[2]Country populations'!BJ177)</f>
        <v>9413</v>
      </c>
      <c r="AF176" s="40">
        <f>IF([2]Setup!$B$21=[2]Setup!$V$19,'[2]Country populations'!AZ177,'[2]Country populations'!BK177)</f>
        <v>8960</v>
      </c>
      <c r="AG176" s="40">
        <f>IF([2]Setup!$B$21=[2]Setup!$V$19,'[2]Country populations'!BA177,'[2]Country populations'!BL177)</f>
        <v>8539</v>
      </c>
      <c r="AH176" s="40">
        <f>IF([2]Setup!$B$21=[2]Setup!$V$19,'[2]Country populations'!BB177,'[2]Country populations'!BM177)</f>
        <v>8147</v>
      </c>
      <c r="AI176" s="40">
        <f>IF([2]Setup!$B$21=[2]Setup!$V$19,'[2]Country populations'!BC177,'[2]Country populations'!BN177)</f>
        <v>7786</v>
      </c>
      <c r="AJ176" s="40">
        <f>IF([2]Setup!$B$21=[2]Setup!$V$19,'[2]Country populations'!BD177,'[2]Country populations'!BO177)</f>
        <v>7454</v>
      </c>
    </row>
    <row r="177" spans="1:36" x14ac:dyDescent="0.25">
      <c r="A177" t="str">
        <f>'[2]Country populations'!A178</f>
        <v>Sweden</v>
      </c>
      <c r="B177" s="40">
        <f>IF([2]Setup!$B$19=[2]Setup!$T$19,'[2]Country populations'!B178,'[2]Country populations'!M178)</f>
        <v>10495</v>
      </c>
      <c r="C177" s="40">
        <f>IF([2]Setup!$B$19=[2]Setup!$T$19,'[2]Country populations'!C178,'[2]Country populations'!N178)</f>
        <v>10813</v>
      </c>
      <c r="D177" s="40">
        <f>IF([2]Setup!$B$19=[2]Setup!$T$19,'[2]Country populations'!D178,'[2]Country populations'!O178)</f>
        <v>11126</v>
      </c>
      <c r="E177" s="40">
        <f>IF([2]Setup!$B$19=[2]Setup!$T$19,'[2]Country populations'!E178,'[2]Country populations'!P178)</f>
        <v>11434</v>
      </c>
      <c r="F177" s="40">
        <f>IF([2]Setup!$B$19=[2]Setup!$T$19,'[2]Country populations'!F178,'[2]Country populations'!Q178)</f>
        <v>11738</v>
      </c>
      <c r="G177" s="40">
        <f>IF([2]Setup!$B$19=[2]Setup!$T$19,'[2]Country populations'!G178,'[2]Country populations'!R178)</f>
        <v>12037</v>
      </c>
      <c r="H177" s="40">
        <f>IF([2]Setup!$B$19=[2]Setup!$T$19,'[2]Country populations'!H178,'[2]Country populations'!S178)</f>
        <v>12331</v>
      </c>
      <c r="I177" s="40">
        <f>IF([2]Setup!$B$19=[2]Setup!$T$19,'[2]Country populations'!I178,'[2]Country populations'!T178)</f>
        <v>12620</v>
      </c>
      <c r="J177" s="40">
        <f>IF([2]Setup!$B$19=[2]Setup!$T$19,'[2]Country populations'!J178,'[2]Country populations'!U178)</f>
        <v>12904</v>
      </c>
      <c r="K177" s="40">
        <f>IF([2]Setup!$B$19=[2]Setup!$T$19,'[2]Country populations'!K178,'[2]Country populations'!V178)</f>
        <v>13185</v>
      </c>
      <c r="L177" s="40">
        <f>IF([2]Setup!$B$19=[2]Setup!$T$19,'[2]Country populations'!L178,'[2]Country populations'!W178)</f>
        <v>13460</v>
      </c>
      <c r="M177" s="40" t="str">
        <f t="shared" si="6"/>
        <v>Sweden</v>
      </c>
      <c r="N177" s="40">
        <f>IF([2]Setup!$B$20=[2]Setup!$U$19,'[2]Country populations'!X178,'[2]Country populations'!AI178)</f>
        <v>50</v>
      </c>
      <c r="O177" s="40">
        <f>IF([2]Setup!$B$20=[2]Setup!$U$19,'[2]Country populations'!Y178,'[2]Country populations'!AJ178)</f>
        <v>56</v>
      </c>
      <c r="P177" s="40">
        <f>IF([2]Setup!$B$20=[2]Setup!$U$19,'[2]Country populations'!Z178,'[2]Country populations'!AK178)</f>
        <v>62</v>
      </c>
      <c r="Q177" s="40">
        <f>IF([2]Setup!$B$20=[2]Setup!$U$19,'[2]Country populations'!AA178,'[2]Country populations'!AL178)</f>
        <v>68</v>
      </c>
      <c r="R177" s="40">
        <f>IF([2]Setup!$B$20=[2]Setup!$U$19,'[2]Country populations'!AB178,'[2]Country populations'!AM178)</f>
        <v>76</v>
      </c>
      <c r="S177" s="40">
        <f>IF([2]Setup!$B$20=[2]Setup!$U$19,'[2]Country populations'!AC178,'[2]Country populations'!AN178)</f>
        <v>84</v>
      </c>
      <c r="T177" s="40">
        <f>IF([2]Setup!$B$20=[2]Setup!$U$19,'[2]Country populations'!AD178,'[2]Country populations'!AO178)</f>
        <v>92</v>
      </c>
      <c r="U177" s="40">
        <f>IF([2]Setup!$B$20=[2]Setup!$U$19,'[2]Country populations'!AE178,'[2]Country populations'!AP178)</f>
        <v>101</v>
      </c>
      <c r="V177" s="40">
        <f>IF([2]Setup!$B$20=[2]Setup!$U$19,'[2]Country populations'!AF178,'[2]Country populations'!AQ178)</f>
        <v>110</v>
      </c>
      <c r="W177" s="40">
        <f>IF([2]Setup!$B$20=[2]Setup!$U$19,'[2]Country populations'!AG178,'[2]Country populations'!AR178)</f>
        <v>116</v>
      </c>
      <c r="X177" s="40">
        <f>IF([2]Setup!$B$20=[2]Setup!$U$19,'[2]Country populations'!AH178,'[2]Country populations'!AS178)</f>
        <v>123</v>
      </c>
      <c r="Y177" s="40" t="str">
        <f t="shared" si="7"/>
        <v>Sweden</v>
      </c>
      <c r="Z177" s="40">
        <f>IF([2]Setup!$B$21=[2]Setup!$V$19,'[2]Country populations'!AT178,'[2]Country populations'!BE178)</f>
        <v>80</v>
      </c>
      <c r="AA177" s="40">
        <f>IF([2]Setup!$B$21=[2]Setup!$V$19,'[2]Country populations'!AU178,'[2]Country populations'!BF178)</f>
        <v>82</v>
      </c>
      <c r="AB177" s="40">
        <f>IF([2]Setup!$B$21=[2]Setup!$V$19,'[2]Country populations'!AV178,'[2]Country populations'!BG178)</f>
        <v>83</v>
      </c>
      <c r="AC177" s="40">
        <f>IF([2]Setup!$B$21=[2]Setup!$V$19,'[2]Country populations'!AW178,'[2]Country populations'!BH178)</f>
        <v>85</v>
      </c>
      <c r="AD177" s="40">
        <f>IF([2]Setup!$B$21=[2]Setup!$V$19,'[2]Country populations'!AX178,'[2]Country populations'!BI178)</f>
        <v>86</v>
      </c>
      <c r="AE177" s="40">
        <f>IF([2]Setup!$B$21=[2]Setup!$V$19,'[2]Country populations'!AY178,'[2]Country populations'!BJ178)</f>
        <v>87</v>
      </c>
      <c r="AF177" s="40">
        <f>IF([2]Setup!$B$21=[2]Setup!$V$19,'[2]Country populations'!AZ178,'[2]Country populations'!BK178)</f>
        <v>88</v>
      </c>
      <c r="AG177" s="40">
        <f>IF([2]Setup!$B$21=[2]Setup!$V$19,'[2]Country populations'!BA178,'[2]Country populations'!BL178)</f>
        <v>89</v>
      </c>
      <c r="AH177" s="40">
        <f>IF([2]Setup!$B$21=[2]Setup!$V$19,'[2]Country populations'!BB178,'[2]Country populations'!BM178)</f>
        <v>89</v>
      </c>
      <c r="AI177" s="40">
        <f>IF([2]Setup!$B$21=[2]Setup!$V$19,'[2]Country populations'!BC178,'[2]Country populations'!BN178)</f>
        <v>89</v>
      </c>
      <c r="AJ177" s="40">
        <f>IF([2]Setup!$B$21=[2]Setup!$V$19,'[2]Country populations'!BD178,'[2]Country populations'!BO178)</f>
        <v>89</v>
      </c>
    </row>
    <row r="178" spans="1:36" x14ac:dyDescent="0.25">
      <c r="A178" t="str">
        <f>'[2]Country populations'!A179</f>
        <v>Switzerland</v>
      </c>
      <c r="B178" s="40">
        <f>IF([2]Setup!$B$19=[2]Setup!$T$19,'[2]Country populations'!B179,'[2]Country populations'!M179)</f>
        <v>19350</v>
      </c>
      <c r="C178" s="40">
        <f>IF([2]Setup!$B$19=[2]Setup!$T$19,'[2]Country populations'!C179,'[2]Country populations'!N179)</f>
        <v>19905</v>
      </c>
      <c r="D178" s="40">
        <f>IF([2]Setup!$B$19=[2]Setup!$T$19,'[2]Country populations'!D179,'[2]Country populations'!O179)</f>
        <v>20423</v>
      </c>
      <c r="E178" s="40">
        <f>IF([2]Setup!$B$19=[2]Setup!$T$19,'[2]Country populations'!E179,'[2]Country populations'!P179)</f>
        <v>20921</v>
      </c>
      <c r="F178" s="40">
        <f>IF([2]Setup!$B$19=[2]Setup!$T$19,'[2]Country populations'!F179,'[2]Country populations'!Q179)</f>
        <v>21398</v>
      </c>
      <c r="G178" s="40">
        <f>IF([2]Setup!$B$19=[2]Setup!$T$19,'[2]Country populations'!G179,'[2]Country populations'!R179)</f>
        <v>21858</v>
      </c>
      <c r="H178" s="40">
        <f>IF([2]Setup!$B$19=[2]Setup!$T$19,'[2]Country populations'!H179,'[2]Country populations'!S179)</f>
        <v>22298</v>
      </c>
      <c r="I178" s="40">
        <f>IF([2]Setup!$B$19=[2]Setup!$T$19,'[2]Country populations'!I179,'[2]Country populations'!T179)</f>
        <v>22720</v>
      </c>
      <c r="J178" s="40">
        <f>IF([2]Setup!$B$19=[2]Setup!$T$19,'[2]Country populations'!J179,'[2]Country populations'!U179)</f>
        <v>23124</v>
      </c>
      <c r="K178" s="40">
        <f>IF([2]Setup!$B$19=[2]Setup!$T$19,'[2]Country populations'!K179,'[2]Country populations'!V179)</f>
        <v>23510</v>
      </c>
      <c r="L178" s="40">
        <f>IF([2]Setup!$B$19=[2]Setup!$T$19,'[2]Country populations'!L179,'[2]Country populations'!W179)</f>
        <v>23879</v>
      </c>
      <c r="M178" s="40" t="str">
        <f t="shared" si="6"/>
        <v>Switzerland</v>
      </c>
      <c r="N178" s="40">
        <f>IF([2]Setup!$B$20=[2]Setup!$U$19,'[2]Country populations'!X179,'[2]Country populations'!AI179)</f>
        <v>53</v>
      </c>
      <c r="O178" s="40">
        <f>IF([2]Setup!$B$20=[2]Setup!$U$19,'[2]Country populations'!Y179,'[2]Country populations'!AJ179)</f>
        <v>56</v>
      </c>
      <c r="P178" s="40">
        <f>IF([2]Setup!$B$20=[2]Setup!$U$19,'[2]Country populations'!Z179,'[2]Country populations'!AK179)</f>
        <v>60</v>
      </c>
      <c r="Q178" s="40">
        <f>IF([2]Setup!$B$20=[2]Setup!$U$19,'[2]Country populations'!AA179,'[2]Country populations'!AL179)</f>
        <v>64</v>
      </c>
      <c r="R178" s="40">
        <f>IF([2]Setup!$B$20=[2]Setup!$U$19,'[2]Country populations'!AB179,'[2]Country populations'!AM179)</f>
        <v>67</v>
      </c>
      <c r="S178" s="40">
        <f>IF([2]Setup!$B$20=[2]Setup!$U$19,'[2]Country populations'!AC179,'[2]Country populations'!AN179)</f>
        <v>70</v>
      </c>
      <c r="T178" s="40">
        <f>IF([2]Setup!$B$20=[2]Setup!$U$19,'[2]Country populations'!AD179,'[2]Country populations'!AO179)</f>
        <v>74</v>
      </c>
      <c r="U178" s="40">
        <f>IF([2]Setup!$B$20=[2]Setup!$U$19,'[2]Country populations'!AE179,'[2]Country populations'!AP179)</f>
        <v>78</v>
      </c>
      <c r="V178" s="40">
        <f>IF([2]Setup!$B$20=[2]Setup!$U$19,'[2]Country populations'!AF179,'[2]Country populations'!AQ179)</f>
        <v>82</v>
      </c>
      <c r="W178" s="40">
        <f>IF([2]Setup!$B$20=[2]Setup!$U$19,'[2]Country populations'!AG179,'[2]Country populations'!AR179)</f>
        <v>85</v>
      </c>
      <c r="X178" s="40">
        <f>IF([2]Setup!$B$20=[2]Setup!$U$19,'[2]Country populations'!AH179,'[2]Country populations'!AS179)</f>
        <v>88</v>
      </c>
      <c r="Y178" s="40" t="str">
        <f t="shared" si="7"/>
        <v>Switzerland</v>
      </c>
      <c r="Z178" s="40">
        <f>IF([2]Setup!$B$21=[2]Setup!$V$19,'[2]Country populations'!AT179,'[2]Country populations'!BE179)</f>
        <v>126</v>
      </c>
      <c r="AA178" s="40">
        <f>IF([2]Setup!$B$21=[2]Setup!$V$19,'[2]Country populations'!AU179,'[2]Country populations'!BF179)</f>
        <v>127</v>
      </c>
      <c r="AB178" s="40">
        <f>IF([2]Setup!$B$21=[2]Setup!$V$19,'[2]Country populations'!AV179,'[2]Country populations'!BG179)</f>
        <v>129</v>
      </c>
      <c r="AC178" s="40">
        <f>IF([2]Setup!$B$21=[2]Setup!$V$19,'[2]Country populations'!AW179,'[2]Country populations'!BH179)</f>
        <v>131</v>
      </c>
      <c r="AD178" s="40">
        <f>IF([2]Setup!$B$21=[2]Setup!$V$19,'[2]Country populations'!AX179,'[2]Country populations'!BI179)</f>
        <v>133</v>
      </c>
      <c r="AE178" s="40">
        <f>IF([2]Setup!$B$21=[2]Setup!$V$19,'[2]Country populations'!AY179,'[2]Country populations'!BJ179)</f>
        <v>135</v>
      </c>
      <c r="AF178" s="40">
        <f>IF([2]Setup!$B$21=[2]Setup!$V$19,'[2]Country populations'!AZ179,'[2]Country populations'!BK179)</f>
        <v>136</v>
      </c>
      <c r="AG178" s="40">
        <f>IF([2]Setup!$B$21=[2]Setup!$V$19,'[2]Country populations'!BA179,'[2]Country populations'!BL179)</f>
        <v>137</v>
      </c>
      <c r="AH178" s="40">
        <f>IF([2]Setup!$B$21=[2]Setup!$V$19,'[2]Country populations'!BB179,'[2]Country populations'!BM179)</f>
        <v>138</v>
      </c>
      <c r="AI178" s="40">
        <f>IF([2]Setup!$B$21=[2]Setup!$V$19,'[2]Country populations'!BC179,'[2]Country populations'!BN179)</f>
        <v>139</v>
      </c>
      <c r="AJ178" s="40">
        <f>IF([2]Setup!$B$21=[2]Setup!$V$19,'[2]Country populations'!BD179,'[2]Country populations'!BO179)</f>
        <v>139</v>
      </c>
    </row>
    <row r="179" spans="1:36" x14ac:dyDescent="0.25">
      <c r="A179" t="str">
        <f>'[2]Country populations'!A180</f>
        <v>Syrian Arab Republic</v>
      </c>
      <c r="B179" s="40">
        <f>IF([2]Setup!$B$19=[2]Setup!$T$19,'[2]Country populations'!B180,'[2]Country populations'!M180)</f>
        <v>0</v>
      </c>
      <c r="C179" s="40">
        <f>IF([2]Setup!$B$19=[2]Setup!$T$19,'[2]Country populations'!C180,'[2]Country populations'!N180)</f>
        <v>0</v>
      </c>
      <c r="D179" s="40">
        <f>IF([2]Setup!$B$19=[2]Setup!$T$19,'[2]Country populations'!D180,'[2]Country populations'!O180)</f>
        <v>0</v>
      </c>
      <c r="E179" s="40">
        <f>IF([2]Setup!$B$19=[2]Setup!$T$19,'[2]Country populations'!E180,'[2]Country populations'!P180)</f>
        <v>0</v>
      </c>
      <c r="F179" s="40">
        <f>IF([2]Setup!$B$19=[2]Setup!$T$19,'[2]Country populations'!F180,'[2]Country populations'!Q180)</f>
        <v>0</v>
      </c>
      <c r="G179" s="40">
        <f>IF([2]Setup!$B$19=[2]Setup!$T$19,'[2]Country populations'!G180,'[2]Country populations'!R180)</f>
        <v>0</v>
      </c>
      <c r="H179" s="40">
        <f>IF([2]Setup!$B$19=[2]Setup!$T$19,'[2]Country populations'!H180,'[2]Country populations'!S180)</f>
        <v>0</v>
      </c>
      <c r="I179" s="40">
        <f>IF([2]Setup!$B$19=[2]Setup!$T$19,'[2]Country populations'!I180,'[2]Country populations'!T180)</f>
        <v>0</v>
      </c>
      <c r="J179" s="40">
        <f>IF([2]Setup!$B$19=[2]Setup!$T$19,'[2]Country populations'!J180,'[2]Country populations'!U180)</f>
        <v>0</v>
      </c>
      <c r="K179" s="40">
        <f>IF([2]Setup!$B$19=[2]Setup!$T$19,'[2]Country populations'!K180,'[2]Country populations'!V180)</f>
        <v>0</v>
      </c>
      <c r="L179" s="40">
        <f>IF([2]Setup!$B$19=[2]Setup!$T$19,'[2]Country populations'!L180,'[2]Country populations'!W180)</f>
        <v>0</v>
      </c>
      <c r="M179" s="40" t="str">
        <f t="shared" si="6"/>
        <v>Syrian Arab Republic</v>
      </c>
      <c r="N179" s="40">
        <f>IF([2]Setup!$B$20=[2]Setup!$U$19,'[2]Country populations'!X180,'[2]Country populations'!AI180)</f>
        <v>0</v>
      </c>
      <c r="O179" s="40">
        <f>IF([2]Setup!$B$20=[2]Setup!$U$19,'[2]Country populations'!Y180,'[2]Country populations'!AJ180)</f>
        <v>0</v>
      </c>
      <c r="P179" s="40">
        <f>IF([2]Setup!$B$20=[2]Setup!$U$19,'[2]Country populations'!Z180,'[2]Country populations'!AK180)</f>
        <v>0</v>
      </c>
      <c r="Q179" s="40">
        <f>IF([2]Setup!$B$20=[2]Setup!$U$19,'[2]Country populations'!AA180,'[2]Country populations'!AL180)</f>
        <v>0</v>
      </c>
      <c r="R179" s="40">
        <f>IF([2]Setup!$B$20=[2]Setup!$U$19,'[2]Country populations'!AB180,'[2]Country populations'!AM180)</f>
        <v>0</v>
      </c>
      <c r="S179" s="40">
        <f>IF([2]Setup!$B$20=[2]Setup!$U$19,'[2]Country populations'!AC180,'[2]Country populations'!AN180)</f>
        <v>0</v>
      </c>
      <c r="T179" s="40">
        <f>IF([2]Setup!$B$20=[2]Setup!$U$19,'[2]Country populations'!AD180,'[2]Country populations'!AO180)</f>
        <v>0</v>
      </c>
      <c r="U179" s="40">
        <f>IF([2]Setup!$B$20=[2]Setup!$U$19,'[2]Country populations'!AE180,'[2]Country populations'!AP180)</f>
        <v>0</v>
      </c>
      <c r="V179" s="40">
        <f>IF([2]Setup!$B$20=[2]Setup!$U$19,'[2]Country populations'!AF180,'[2]Country populations'!AQ180)</f>
        <v>0</v>
      </c>
      <c r="W179" s="40">
        <f>IF([2]Setup!$B$20=[2]Setup!$U$19,'[2]Country populations'!AG180,'[2]Country populations'!AR180)</f>
        <v>0</v>
      </c>
      <c r="X179" s="40">
        <f>IF([2]Setup!$B$20=[2]Setup!$U$19,'[2]Country populations'!AH180,'[2]Country populations'!AS180)</f>
        <v>0</v>
      </c>
      <c r="Y179" s="40" t="str">
        <f t="shared" si="7"/>
        <v>Syrian Arab Republic</v>
      </c>
      <c r="Z179" s="40">
        <f>IF([2]Setup!$B$21=[2]Setup!$V$19,'[2]Country populations'!AT180,'[2]Country populations'!BE180)</f>
        <v>0</v>
      </c>
      <c r="AA179" s="40">
        <f>IF([2]Setup!$B$21=[2]Setup!$V$19,'[2]Country populations'!AU180,'[2]Country populations'!BF180)</f>
        <v>0</v>
      </c>
      <c r="AB179" s="40">
        <f>IF([2]Setup!$B$21=[2]Setup!$V$19,'[2]Country populations'!AV180,'[2]Country populations'!BG180)</f>
        <v>0</v>
      </c>
      <c r="AC179" s="40">
        <f>IF([2]Setup!$B$21=[2]Setup!$V$19,'[2]Country populations'!AW180,'[2]Country populations'!BH180)</f>
        <v>0</v>
      </c>
      <c r="AD179" s="40">
        <f>IF([2]Setup!$B$21=[2]Setup!$V$19,'[2]Country populations'!AX180,'[2]Country populations'!BI180)</f>
        <v>0</v>
      </c>
      <c r="AE179" s="40">
        <f>IF([2]Setup!$B$21=[2]Setup!$V$19,'[2]Country populations'!AY180,'[2]Country populations'!BJ180)</f>
        <v>0</v>
      </c>
      <c r="AF179" s="40">
        <f>IF([2]Setup!$B$21=[2]Setup!$V$19,'[2]Country populations'!AZ180,'[2]Country populations'!BK180)</f>
        <v>0</v>
      </c>
      <c r="AG179" s="40">
        <f>IF([2]Setup!$B$21=[2]Setup!$V$19,'[2]Country populations'!BA180,'[2]Country populations'!BL180)</f>
        <v>0</v>
      </c>
      <c r="AH179" s="40">
        <f>IF([2]Setup!$B$21=[2]Setup!$V$19,'[2]Country populations'!BB180,'[2]Country populations'!BM180)</f>
        <v>0</v>
      </c>
      <c r="AI179" s="40">
        <f>IF([2]Setup!$B$21=[2]Setup!$V$19,'[2]Country populations'!BC180,'[2]Country populations'!BN180)</f>
        <v>0</v>
      </c>
      <c r="AJ179" s="40">
        <f>IF([2]Setup!$B$21=[2]Setup!$V$19,'[2]Country populations'!BD180,'[2]Country populations'!BO180)</f>
        <v>0</v>
      </c>
    </row>
    <row r="180" spans="1:36" x14ac:dyDescent="0.25">
      <c r="A180" t="str">
        <f>'[2]Country populations'!A181</f>
        <v>Tajikistan</v>
      </c>
      <c r="B180" s="40">
        <f>IF([2]Setup!$B$19=[2]Setup!$T$19,'[2]Country populations'!B181,'[2]Country populations'!M181)</f>
        <v>17132</v>
      </c>
      <c r="C180" s="40">
        <f>IF([2]Setup!$B$19=[2]Setup!$T$19,'[2]Country populations'!C181,'[2]Country populations'!N181)</f>
        <v>17793</v>
      </c>
      <c r="D180" s="40">
        <f>IF([2]Setup!$B$19=[2]Setup!$T$19,'[2]Country populations'!D181,'[2]Country populations'!O181)</f>
        <v>18465</v>
      </c>
      <c r="E180" s="40">
        <f>IF([2]Setup!$B$19=[2]Setup!$T$19,'[2]Country populations'!E181,'[2]Country populations'!P181)</f>
        <v>19169</v>
      </c>
      <c r="F180" s="40">
        <f>IF([2]Setup!$B$19=[2]Setup!$T$19,'[2]Country populations'!F181,'[2]Country populations'!Q181)</f>
        <v>19876</v>
      </c>
      <c r="G180" s="40">
        <f>IF([2]Setup!$B$19=[2]Setup!$T$19,'[2]Country populations'!G181,'[2]Country populations'!R181)</f>
        <v>20592</v>
      </c>
      <c r="H180" s="40">
        <f>IF([2]Setup!$B$19=[2]Setup!$T$19,'[2]Country populations'!H181,'[2]Country populations'!S181)</f>
        <v>21287</v>
      </c>
      <c r="I180" s="40">
        <f>IF([2]Setup!$B$19=[2]Setup!$T$19,'[2]Country populations'!I181,'[2]Country populations'!T181)</f>
        <v>21959</v>
      </c>
      <c r="J180" s="40">
        <f>IF([2]Setup!$B$19=[2]Setup!$T$19,'[2]Country populations'!J181,'[2]Country populations'!U181)</f>
        <v>22615</v>
      </c>
      <c r="K180" s="40">
        <f>IF([2]Setup!$B$19=[2]Setup!$T$19,'[2]Country populations'!K181,'[2]Country populations'!V181)</f>
        <v>23257</v>
      </c>
      <c r="L180" s="40">
        <f>IF([2]Setup!$B$19=[2]Setup!$T$19,'[2]Country populations'!L181,'[2]Country populations'!W181)</f>
        <v>23893</v>
      </c>
      <c r="M180" s="40" t="str">
        <f t="shared" si="6"/>
        <v>Tajikistan</v>
      </c>
      <c r="N180" s="40">
        <f>IF([2]Setup!$B$20=[2]Setup!$U$19,'[2]Country populations'!X181,'[2]Country populations'!AI181)</f>
        <v>867</v>
      </c>
      <c r="O180" s="40">
        <f>IF([2]Setup!$B$20=[2]Setup!$U$19,'[2]Country populations'!Y181,'[2]Country populations'!AJ181)</f>
        <v>896</v>
      </c>
      <c r="P180" s="40">
        <f>IF([2]Setup!$B$20=[2]Setup!$U$19,'[2]Country populations'!Z181,'[2]Country populations'!AK181)</f>
        <v>941</v>
      </c>
      <c r="Q180" s="40">
        <f>IF([2]Setup!$B$20=[2]Setup!$U$19,'[2]Country populations'!AA181,'[2]Country populations'!AL181)</f>
        <v>991</v>
      </c>
      <c r="R180" s="40">
        <f>IF([2]Setup!$B$20=[2]Setup!$U$19,'[2]Country populations'!AB181,'[2]Country populations'!AM181)</f>
        <v>1048</v>
      </c>
      <c r="S180" s="40">
        <f>IF([2]Setup!$B$20=[2]Setup!$U$19,'[2]Country populations'!AC181,'[2]Country populations'!AN181)</f>
        <v>1105</v>
      </c>
      <c r="T180" s="40">
        <f>IF([2]Setup!$B$20=[2]Setup!$U$19,'[2]Country populations'!AD181,'[2]Country populations'!AO181)</f>
        <v>1166</v>
      </c>
      <c r="U180" s="40">
        <f>IF([2]Setup!$B$20=[2]Setup!$U$19,'[2]Country populations'!AE181,'[2]Country populations'!AP181)</f>
        <v>1227</v>
      </c>
      <c r="V180" s="40">
        <f>IF([2]Setup!$B$20=[2]Setup!$U$19,'[2]Country populations'!AF181,'[2]Country populations'!AQ181)</f>
        <v>1278</v>
      </c>
      <c r="W180" s="40">
        <f>IF([2]Setup!$B$20=[2]Setup!$U$19,'[2]Country populations'!AG181,'[2]Country populations'!AR181)</f>
        <v>1322</v>
      </c>
      <c r="X180" s="40">
        <f>IF([2]Setup!$B$20=[2]Setup!$U$19,'[2]Country populations'!AH181,'[2]Country populations'!AS181)</f>
        <v>1359</v>
      </c>
      <c r="Y180" s="40" t="str">
        <f t="shared" si="7"/>
        <v>Tajikistan</v>
      </c>
      <c r="Z180" s="40">
        <f>IF([2]Setup!$B$21=[2]Setup!$V$19,'[2]Country populations'!AT181,'[2]Country populations'!BE181)</f>
        <v>457</v>
      </c>
      <c r="AA180" s="40">
        <f>IF([2]Setup!$B$21=[2]Setup!$V$19,'[2]Country populations'!AU181,'[2]Country populations'!BF181)</f>
        <v>474</v>
      </c>
      <c r="AB180" s="40">
        <f>IF([2]Setup!$B$21=[2]Setup!$V$19,'[2]Country populations'!AV181,'[2]Country populations'!BG181)</f>
        <v>492</v>
      </c>
      <c r="AC180" s="40">
        <f>IF([2]Setup!$B$21=[2]Setup!$V$19,'[2]Country populations'!AW181,'[2]Country populations'!BH181)</f>
        <v>511</v>
      </c>
      <c r="AD180" s="40">
        <f>IF([2]Setup!$B$21=[2]Setup!$V$19,'[2]Country populations'!AX181,'[2]Country populations'!BI181)</f>
        <v>530</v>
      </c>
      <c r="AE180" s="40">
        <f>IF([2]Setup!$B$21=[2]Setup!$V$19,'[2]Country populations'!AY181,'[2]Country populations'!BJ181)</f>
        <v>548</v>
      </c>
      <c r="AF180" s="40">
        <f>IF([2]Setup!$B$21=[2]Setup!$V$19,'[2]Country populations'!AZ181,'[2]Country populations'!BK181)</f>
        <v>564</v>
      </c>
      <c r="AG180" s="40">
        <f>IF([2]Setup!$B$21=[2]Setup!$V$19,'[2]Country populations'!BA181,'[2]Country populations'!BL181)</f>
        <v>577</v>
      </c>
      <c r="AH180" s="40">
        <f>IF([2]Setup!$B$21=[2]Setup!$V$19,'[2]Country populations'!BB181,'[2]Country populations'!BM181)</f>
        <v>588</v>
      </c>
      <c r="AI180" s="40">
        <f>IF([2]Setup!$B$21=[2]Setup!$V$19,'[2]Country populations'!BC181,'[2]Country populations'!BN181)</f>
        <v>598</v>
      </c>
      <c r="AJ180" s="40">
        <f>IF([2]Setup!$B$21=[2]Setup!$V$19,'[2]Country populations'!BD181,'[2]Country populations'!BO181)</f>
        <v>606</v>
      </c>
    </row>
    <row r="181" spans="1:36" x14ac:dyDescent="0.25">
      <c r="A181" t="str">
        <f>'[2]Country populations'!A182</f>
        <v>TFYR Macedonia</v>
      </c>
      <c r="B181" s="40">
        <f>IF([2]Setup!$B$19=[2]Setup!$T$19,'[2]Country populations'!B182,'[2]Country populations'!M182)</f>
        <v>238</v>
      </c>
      <c r="C181" s="40">
        <f>IF([2]Setup!$B$19=[2]Setup!$T$19,'[2]Country populations'!C182,'[2]Country populations'!N182)</f>
        <v>250</v>
      </c>
      <c r="D181" s="40">
        <f>IF([2]Setup!$B$19=[2]Setup!$T$19,'[2]Country populations'!D182,'[2]Country populations'!O182)</f>
        <v>258</v>
      </c>
      <c r="E181" s="40">
        <f>IF([2]Setup!$B$19=[2]Setup!$T$19,'[2]Country populations'!E182,'[2]Country populations'!P182)</f>
        <v>263</v>
      </c>
      <c r="F181" s="40">
        <f>IF([2]Setup!$B$19=[2]Setup!$T$19,'[2]Country populations'!F182,'[2]Country populations'!Q182)</f>
        <v>266</v>
      </c>
      <c r="G181" s="40">
        <f>IF([2]Setup!$B$19=[2]Setup!$T$19,'[2]Country populations'!G182,'[2]Country populations'!R182)</f>
        <v>267</v>
      </c>
      <c r="H181" s="40">
        <f>IF([2]Setup!$B$19=[2]Setup!$T$19,'[2]Country populations'!H182,'[2]Country populations'!S182)</f>
        <v>268</v>
      </c>
      <c r="I181" s="40">
        <f>IF([2]Setup!$B$19=[2]Setup!$T$19,'[2]Country populations'!I182,'[2]Country populations'!T182)</f>
        <v>267</v>
      </c>
      <c r="J181" s="40">
        <f>IF([2]Setup!$B$19=[2]Setup!$T$19,'[2]Country populations'!J182,'[2]Country populations'!U182)</f>
        <v>266</v>
      </c>
      <c r="K181" s="40">
        <f>IF([2]Setup!$B$19=[2]Setup!$T$19,'[2]Country populations'!K182,'[2]Country populations'!V182)</f>
        <v>265</v>
      </c>
      <c r="L181" s="40">
        <f>IF([2]Setup!$B$19=[2]Setup!$T$19,'[2]Country populations'!L182,'[2]Country populations'!W182)</f>
        <v>263</v>
      </c>
      <c r="M181" s="40" t="str">
        <f t="shared" si="6"/>
        <v>TFYR Macedonia</v>
      </c>
      <c r="N181" s="40">
        <f>IF([2]Setup!$B$20=[2]Setup!$U$19,'[2]Country populations'!X182,'[2]Country populations'!AI182)</f>
        <v>5</v>
      </c>
      <c r="O181" s="40">
        <f>IF([2]Setup!$B$20=[2]Setup!$U$19,'[2]Country populations'!Y182,'[2]Country populations'!AJ182)</f>
        <v>5</v>
      </c>
      <c r="P181" s="40">
        <f>IF([2]Setup!$B$20=[2]Setup!$U$19,'[2]Country populations'!Z182,'[2]Country populations'!AK182)</f>
        <v>5</v>
      </c>
      <c r="Q181" s="40">
        <f>IF([2]Setup!$B$20=[2]Setup!$U$19,'[2]Country populations'!AA182,'[2]Country populations'!AL182)</f>
        <v>6</v>
      </c>
      <c r="R181" s="40">
        <f>IF([2]Setup!$B$20=[2]Setup!$U$19,'[2]Country populations'!AB182,'[2]Country populations'!AM182)</f>
        <v>6</v>
      </c>
      <c r="S181" s="40">
        <f>IF([2]Setup!$B$20=[2]Setup!$U$19,'[2]Country populations'!AC182,'[2]Country populations'!AN182)</f>
        <v>6</v>
      </c>
      <c r="T181" s="40">
        <f>IF([2]Setup!$B$20=[2]Setup!$U$19,'[2]Country populations'!AD182,'[2]Country populations'!AO182)</f>
        <v>6</v>
      </c>
      <c r="U181" s="40">
        <f>IF([2]Setup!$B$20=[2]Setup!$U$19,'[2]Country populations'!AE182,'[2]Country populations'!AP182)</f>
        <v>6</v>
      </c>
      <c r="V181" s="40">
        <f>IF([2]Setup!$B$20=[2]Setup!$U$19,'[2]Country populations'!AF182,'[2]Country populations'!AQ182)</f>
        <v>6</v>
      </c>
      <c r="W181" s="40">
        <f>IF([2]Setup!$B$20=[2]Setup!$U$19,'[2]Country populations'!AG182,'[2]Country populations'!AR182)</f>
        <v>6</v>
      </c>
      <c r="X181" s="40">
        <f>IF([2]Setup!$B$20=[2]Setup!$U$19,'[2]Country populations'!AH182,'[2]Country populations'!AS182)</f>
        <v>6</v>
      </c>
      <c r="Y181" s="40" t="str">
        <f t="shared" si="7"/>
        <v>TFYR Macedonia</v>
      </c>
      <c r="Z181" s="40">
        <f>IF([2]Setup!$B$21=[2]Setup!$V$19,'[2]Country populations'!AT182,'[2]Country populations'!BE182)</f>
        <v>2</v>
      </c>
      <c r="AA181" s="40">
        <f>IF([2]Setup!$B$21=[2]Setup!$V$19,'[2]Country populations'!AU182,'[2]Country populations'!BF182)</f>
        <v>2</v>
      </c>
      <c r="AB181" s="40">
        <f>IF([2]Setup!$B$21=[2]Setup!$V$19,'[2]Country populations'!AV182,'[2]Country populations'!BG182)</f>
        <v>2</v>
      </c>
      <c r="AC181" s="40">
        <f>IF([2]Setup!$B$21=[2]Setup!$V$19,'[2]Country populations'!AW182,'[2]Country populations'!BH182)</f>
        <v>2</v>
      </c>
      <c r="AD181" s="40">
        <f>IF([2]Setup!$B$21=[2]Setup!$V$19,'[2]Country populations'!AX182,'[2]Country populations'!BI182)</f>
        <v>2</v>
      </c>
      <c r="AE181" s="40">
        <f>IF([2]Setup!$B$21=[2]Setup!$V$19,'[2]Country populations'!AY182,'[2]Country populations'!BJ182)</f>
        <v>2</v>
      </c>
      <c r="AF181" s="40">
        <f>IF([2]Setup!$B$21=[2]Setup!$V$19,'[2]Country populations'!AZ182,'[2]Country populations'!BK182)</f>
        <v>2</v>
      </c>
      <c r="AG181" s="40">
        <f>IF([2]Setup!$B$21=[2]Setup!$V$19,'[2]Country populations'!BA182,'[2]Country populations'!BL182)</f>
        <v>2</v>
      </c>
      <c r="AH181" s="40">
        <f>IF([2]Setup!$B$21=[2]Setup!$V$19,'[2]Country populations'!BB182,'[2]Country populations'!BM182)</f>
        <v>2</v>
      </c>
      <c r="AI181" s="40">
        <f>IF([2]Setup!$B$21=[2]Setup!$V$19,'[2]Country populations'!BC182,'[2]Country populations'!BN182)</f>
        <v>2</v>
      </c>
      <c r="AJ181" s="40">
        <f>IF([2]Setup!$B$21=[2]Setup!$V$19,'[2]Country populations'!BD182,'[2]Country populations'!BO182)</f>
        <v>2</v>
      </c>
    </row>
    <row r="182" spans="1:36" x14ac:dyDescent="0.25">
      <c r="A182" t="str">
        <f>'[2]Country populations'!A183</f>
        <v>Thailand</v>
      </c>
      <c r="B182" s="40">
        <f>IF([2]Setup!$B$19=[2]Setup!$T$19,'[2]Country populations'!B183,'[2]Country populations'!M183)</f>
        <v>378827</v>
      </c>
      <c r="C182" s="40">
        <f>IF([2]Setup!$B$19=[2]Setup!$T$19,'[2]Country populations'!C183,'[2]Country populations'!N183)</f>
        <v>370796</v>
      </c>
      <c r="D182" s="40">
        <f>IF([2]Setup!$B$19=[2]Setup!$T$19,'[2]Country populations'!D183,'[2]Country populations'!O183)</f>
        <v>362879</v>
      </c>
      <c r="E182" s="40">
        <f>IF([2]Setup!$B$19=[2]Setup!$T$19,'[2]Country populations'!E183,'[2]Country populations'!P183)</f>
        <v>355264</v>
      </c>
      <c r="F182" s="40">
        <f>IF([2]Setup!$B$19=[2]Setup!$T$19,'[2]Country populations'!F183,'[2]Country populations'!Q183)</f>
        <v>347992</v>
      </c>
      <c r="G182" s="40">
        <f>IF([2]Setup!$B$19=[2]Setup!$T$19,'[2]Country populations'!G183,'[2]Country populations'!R183)</f>
        <v>341083</v>
      </c>
      <c r="H182" s="40">
        <f>IF([2]Setup!$B$19=[2]Setup!$T$19,'[2]Country populations'!H183,'[2]Country populations'!S183)</f>
        <v>334326</v>
      </c>
      <c r="I182" s="40">
        <f>IF([2]Setup!$B$19=[2]Setup!$T$19,'[2]Country populations'!I183,'[2]Country populations'!T183)</f>
        <v>327498</v>
      </c>
      <c r="J182" s="40">
        <f>IF([2]Setup!$B$19=[2]Setup!$T$19,'[2]Country populations'!J183,'[2]Country populations'!U183)</f>
        <v>320545</v>
      </c>
      <c r="K182" s="40">
        <f>IF([2]Setup!$B$19=[2]Setup!$T$19,'[2]Country populations'!K183,'[2]Country populations'!V183)</f>
        <v>313524</v>
      </c>
      <c r="L182" s="40">
        <f>IF([2]Setup!$B$19=[2]Setup!$T$19,'[2]Country populations'!L183,'[2]Country populations'!W183)</f>
        <v>306526</v>
      </c>
      <c r="M182" s="40" t="str">
        <f t="shared" si="6"/>
        <v>Thailand</v>
      </c>
      <c r="N182" s="40">
        <f>IF([2]Setup!$B$20=[2]Setup!$U$19,'[2]Country populations'!X183,'[2]Country populations'!AI183)</f>
        <v>7586</v>
      </c>
      <c r="O182" s="40">
        <f>IF([2]Setup!$B$20=[2]Setup!$U$19,'[2]Country populations'!Y183,'[2]Country populations'!AJ183)</f>
        <v>6620</v>
      </c>
      <c r="P182" s="40">
        <f>IF([2]Setup!$B$20=[2]Setup!$U$19,'[2]Country populations'!Z183,'[2]Country populations'!AK183)</f>
        <v>5822</v>
      </c>
      <c r="Q182" s="40">
        <f>IF([2]Setup!$B$20=[2]Setup!$U$19,'[2]Country populations'!AA183,'[2]Country populations'!AL183)</f>
        <v>5057</v>
      </c>
      <c r="R182" s="40">
        <f>IF([2]Setup!$B$20=[2]Setup!$U$19,'[2]Country populations'!AB183,'[2]Country populations'!AM183)</f>
        <v>4339</v>
      </c>
      <c r="S182" s="40">
        <f>IF([2]Setup!$B$20=[2]Setup!$U$19,'[2]Country populations'!AC183,'[2]Country populations'!AN183)</f>
        <v>3655</v>
      </c>
      <c r="T182" s="40">
        <f>IF([2]Setup!$B$20=[2]Setup!$U$19,'[2]Country populations'!AD183,'[2]Country populations'!AO183)</f>
        <v>3011</v>
      </c>
      <c r="U182" s="40">
        <f>IF([2]Setup!$B$20=[2]Setup!$U$19,'[2]Country populations'!AE183,'[2]Country populations'!AP183)</f>
        <v>2467</v>
      </c>
      <c r="V182" s="40">
        <f>IF([2]Setup!$B$20=[2]Setup!$U$19,'[2]Country populations'!AF183,'[2]Country populations'!AQ183)</f>
        <v>2111</v>
      </c>
      <c r="W182" s="40">
        <f>IF([2]Setup!$B$20=[2]Setup!$U$19,'[2]Country populations'!AG183,'[2]Country populations'!AR183)</f>
        <v>1912</v>
      </c>
      <c r="X182" s="40">
        <f>IF([2]Setup!$B$20=[2]Setup!$U$19,'[2]Country populations'!AH183,'[2]Country populations'!AS183)</f>
        <v>1796</v>
      </c>
      <c r="Y182" s="40" t="str">
        <f t="shared" si="7"/>
        <v>Thailand</v>
      </c>
      <c r="Z182" s="40">
        <f>IF([2]Setup!$B$21=[2]Setup!$V$19,'[2]Country populations'!AT183,'[2]Country populations'!BE183)</f>
        <v>2122</v>
      </c>
      <c r="AA182" s="40">
        <f>IF([2]Setup!$B$21=[2]Setup!$V$19,'[2]Country populations'!AU183,'[2]Country populations'!BF183)</f>
        <v>1918</v>
      </c>
      <c r="AB182" s="40">
        <f>IF([2]Setup!$B$21=[2]Setup!$V$19,'[2]Country populations'!AV183,'[2]Country populations'!BG183)</f>
        <v>1744</v>
      </c>
      <c r="AC182" s="40">
        <f>IF([2]Setup!$B$21=[2]Setup!$V$19,'[2]Country populations'!AW183,'[2]Country populations'!BH183)</f>
        <v>1576</v>
      </c>
      <c r="AD182" s="40">
        <f>IF([2]Setup!$B$21=[2]Setup!$V$19,'[2]Country populations'!AX183,'[2]Country populations'!BI183)</f>
        <v>1423</v>
      </c>
      <c r="AE182" s="40">
        <f>IF([2]Setup!$B$21=[2]Setup!$V$19,'[2]Country populations'!AY183,'[2]Country populations'!BJ183)</f>
        <v>1290</v>
      </c>
      <c r="AF182" s="40">
        <f>IF([2]Setup!$B$21=[2]Setup!$V$19,'[2]Country populations'!AZ183,'[2]Country populations'!BK183)</f>
        <v>1174</v>
      </c>
      <c r="AG182" s="40">
        <f>IF([2]Setup!$B$21=[2]Setup!$V$19,'[2]Country populations'!BA183,'[2]Country populations'!BL183)</f>
        <v>1072</v>
      </c>
      <c r="AH182" s="40">
        <f>IF([2]Setup!$B$21=[2]Setup!$V$19,'[2]Country populations'!BB183,'[2]Country populations'!BM183)</f>
        <v>984</v>
      </c>
      <c r="AI182" s="40">
        <f>IF([2]Setup!$B$21=[2]Setup!$V$19,'[2]Country populations'!BC183,'[2]Country populations'!BN183)</f>
        <v>909</v>
      </c>
      <c r="AJ182" s="40">
        <f>IF([2]Setup!$B$21=[2]Setup!$V$19,'[2]Country populations'!BD183,'[2]Country populations'!BO183)</f>
        <v>843</v>
      </c>
    </row>
    <row r="183" spans="1:36" x14ac:dyDescent="0.25">
      <c r="A183" t="str">
        <f>'[2]Country populations'!A184</f>
        <v>Timor-Leste</v>
      </c>
      <c r="B183" s="40">
        <f>IF([2]Setup!$B$19=[2]Setup!$T$19,'[2]Country populations'!B184,'[2]Country populations'!M184)</f>
        <v>0</v>
      </c>
      <c r="C183" s="40">
        <f>IF([2]Setup!$B$19=[2]Setup!$T$19,'[2]Country populations'!C184,'[2]Country populations'!N184)</f>
        <v>0</v>
      </c>
      <c r="D183" s="40">
        <f>IF([2]Setup!$B$19=[2]Setup!$T$19,'[2]Country populations'!D184,'[2]Country populations'!O184)</f>
        <v>0</v>
      </c>
      <c r="E183" s="40">
        <f>IF([2]Setup!$B$19=[2]Setup!$T$19,'[2]Country populations'!E184,'[2]Country populations'!P184)</f>
        <v>0</v>
      </c>
      <c r="F183" s="40">
        <f>IF([2]Setup!$B$19=[2]Setup!$T$19,'[2]Country populations'!F184,'[2]Country populations'!Q184)</f>
        <v>0</v>
      </c>
      <c r="G183" s="40">
        <f>IF([2]Setup!$B$19=[2]Setup!$T$19,'[2]Country populations'!G184,'[2]Country populations'!R184)</f>
        <v>0</v>
      </c>
      <c r="H183" s="40">
        <f>IF([2]Setup!$B$19=[2]Setup!$T$19,'[2]Country populations'!H184,'[2]Country populations'!S184)</f>
        <v>0</v>
      </c>
      <c r="I183" s="40">
        <f>IF([2]Setup!$B$19=[2]Setup!$T$19,'[2]Country populations'!I184,'[2]Country populations'!T184)</f>
        <v>0</v>
      </c>
      <c r="J183" s="40">
        <f>IF([2]Setup!$B$19=[2]Setup!$T$19,'[2]Country populations'!J184,'[2]Country populations'!U184)</f>
        <v>0</v>
      </c>
      <c r="K183" s="40">
        <f>IF([2]Setup!$B$19=[2]Setup!$T$19,'[2]Country populations'!K184,'[2]Country populations'!V184)</f>
        <v>0</v>
      </c>
      <c r="L183" s="40">
        <f>IF([2]Setup!$B$19=[2]Setup!$T$19,'[2]Country populations'!L184,'[2]Country populations'!W184)</f>
        <v>0</v>
      </c>
      <c r="M183" s="40" t="str">
        <f t="shared" si="6"/>
        <v>Timor-Leste</v>
      </c>
      <c r="N183" s="40">
        <f>IF([2]Setup!$B$20=[2]Setup!$U$19,'[2]Country populations'!X184,'[2]Country populations'!AI184)</f>
        <v>0</v>
      </c>
      <c r="O183" s="40">
        <f>IF([2]Setup!$B$20=[2]Setup!$U$19,'[2]Country populations'!Y184,'[2]Country populations'!AJ184)</f>
        <v>0</v>
      </c>
      <c r="P183" s="40">
        <f>IF([2]Setup!$B$20=[2]Setup!$U$19,'[2]Country populations'!Z184,'[2]Country populations'!AK184)</f>
        <v>0</v>
      </c>
      <c r="Q183" s="40">
        <f>IF([2]Setup!$B$20=[2]Setup!$U$19,'[2]Country populations'!AA184,'[2]Country populations'!AL184)</f>
        <v>0</v>
      </c>
      <c r="R183" s="40">
        <f>IF([2]Setup!$B$20=[2]Setup!$U$19,'[2]Country populations'!AB184,'[2]Country populations'!AM184)</f>
        <v>0</v>
      </c>
      <c r="S183" s="40">
        <f>IF([2]Setup!$B$20=[2]Setup!$U$19,'[2]Country populations'!AC184,'[2]Country populations'!AN184)</f>
        <v>0</v>
      </c>
      <c r="T183" s="40">
        <f>IF([2]Setup!$B$20=[2]Setup!$U$19,'[2]Country populations'!AD184,'[2]Country populations'!AO184)</f>
        <v>0</v>
      </c>
      <c r="U183" s="40">
        <f>IF([2]Setup!$B$20=[2]Setup!$U$19,'[2]Country populations'!AE184,'[2]Country populations'!AP184)</f>
        <v>0</v>
      </c>
      <c r="V183" s="40">
        <f>IF([2]Setup!$B$20=[2]Setup!$U$19,'[2]Country populations'!AF184,'[2]Country populations'!AQ184)</f>
        <v>0</v>
      </c>
      <c r="W183" s="40">
        <f>IF([2]Setup!$B$20=[2]Setup!$U$19,'[2]Country populations'!AG184,'[2]Country populations'!AR184)</f>
        <v>0</v>
      </c>
      <c r="X183" s="40">
        <f>IF([2]Setup!$B$20=[2]Setup!$U$19,'[2]Country populations'!AH184,'[2]Country populations'!AS184)</f>
        <v>0</v>
      </c>
      <c r="Y183" s="40" t="str">
        <f t="shared" si="7"/>
        <v>Timor-Leste</v>
      </c>
      <c r="Z183" s="40">
        <f>IF([2]Setup!$B$21=[2]Setup!$V$19,'[2]Country populations'!AT184,'[2]Country populations'!BE184)</f>
        <v>0</v>
      </c>
      <c r="AA183" s="40">
        <f>IF([2]Setup!$B$21=[2]Setup!$V$19,'[2]Country populations'!AU184,'[2]Country populations'!BF184)</f>
        <v>0</v>
      </c>
      <c r="AB183" s="40">
        <f>IF([2]Setup!$B$21=[2]Setup!$V$19,'[2]Country populations'!AV184,'[2]Country populations'!BG184)</f>
        <v>0</v>
      </c>
      <c r="AC183" s="40">
        <f>IF([2]Setup!$B$21=[2]Setup!$V$19,'[2]Country populations'!AW184,'[2]Country populations'!BH184)</f>
        <v>0</v>
      </c>
      <c r="AD183" s="40">
        <f>IF([2]Setup!$B$21=[2]Setup!$V$19,'[2]Country populations'!AX184,'[2]Country populations'!BI184)</f>
        <v>0</v>
      </c>
      <c r="AE183" s="40">
        <f>IF([2]Setup!$B$21=[2]Setup!$V$19,'[2]Country populations'!AY184,'[2]Country populations'!BJ184)</f>
        <v>0</v>
      </c>
      <c r="AF183" s="40">
        <f>IF([2]Setup!$B$21=[2]Setup!$V$19,'[2]Country populations'!AZ184,'[2]Country populations'!BK184)</f>
        <v>0</v>
      </c>
      <c r="AG183" s="40">
        <f>IF([2]Setup!$B$21=[2]Setup!$V$19,'[2]Country populations'!BA184,'[2]Country populations'!BL184)</f>
        <v>0</v>
      </c>
      <c r="AH183" s="40">
        <f>IF([2]Setup!$B$21=[2]Setup!$V$19,'[2]Country populations'!BB184,'[2]Country populations'!BM184)</f>
        <v>0</v>
      </c>
      <c r="AI183" s="40">
        <f>IF([2]Setup!$B$21=[2]Setup!$V$19,'[2]Country populations'!BC184,'[2]Country populations'!BN184)</f>
        <v>0</v>
      </c>
      <c r="AJ183" s="40">
        <f>IF([2]Setup!$B$21=[2]Setup!$V$19,'[2]Country populations'!BD184,'[2]Country populations'!BO184)</f>
        <v>0</v>
      </c>
    </row>
    <row r="184" spans="1:36" x14ac:dyDescent="0.25">
      <c r="A184" t="str">
        <f>'[2]Country populations'!A185</f>
        <v>Togo</v>
      </c>
      <c r="B184" s="40">
        <f>IF([2]Setup!$B$19=[2]Setup!$T$19,'[2]Country populations'!B185,'[2]Country populations'!M185)</f>
        <v>105933</v>
      </c>
      <c r="C184" s="40">
        <f>IF([2]Setup!$B$19=[2]Setup!$T$19,'[2]Country populations'!C185,'[2]Country populations'!N185)</f>
        <v>106030</v>
      </c>
      <c r="D184" s="40">
        <f>IF([2]Setup!$B$19=[2]Setup!$T$19,'[2]Country populations'!D185,'[2]Country populations'!O185)</f>
        <v>105673</v>
      </c>
      <c r="E184" s="40">
        <f>IF([2]Setup!$B$19=[2]Setup!$T$19,'[2]Country populations'!E185,'[2]Country populations'!P185)</f>
        <v>104912</v>
      </c>
      <c r="F184" s="40">
        <f>IF([2]Setup!$B$19=[2]Setup!$T$19,'[2]Country populations'!F185,'[2]Country populations'!Q185)</f>
        <v>103874</v>
      </c>
      <c r="G184" s="40">
        <f>IF([2]Setup!$B$19=[2]Setup!$T$19,'[2]Country populations'!G185,'[2]Country populations'!R185)</f>
        <v>102578</v>
      </c>
      <c r="H184" s="40">
        <f>IF([2]Setup!$B$19=[2]Setup!$T$19,'[2]Country populations'!H185,'[2]Country populations'!S185)</f>
        <v>101206</v>
      </c>
      <c r="I184" s="40">
        <f>IF([2]Setup!$B$19=[2]Setup!$T$19,'[2]Country populations'!I185,'[2]Country populations'!T185)</f>
        <v>99773</v>
      </c>
      <c r="J184" s="40">
        <f>IF([2]Setup!$B$19=[2]Setup!$T$19,'[2]Country populations'!J185,'[2]Country populations'!U185)</f>
        <v>98261</v>
      </c>
      <c r="K184" s="40">
        <f>IF([2]Setup!$B$19=[2]Setup!$T$19,'[2]Country populations'!K185,'[2]Country populations'!V185)</f>
        <v>96683</v>
      </c>
      <c r="L184" s="40">
        <f>IF([2]Setup!$B$19=[2]Setup!$T$19,'[2]Country populations'!L185,'[2]Country populations'!W185)</f>
        <v>95107</v>
      </c>
      <c r="M184" s="40" t="str">
        <f t="shared" si="6"/>
        <v>Togo</v>
      </c>
      <c r="N184" s="40">
        <f>IF([2]Setup!$B$20=[2]Setup!$U$19,'[2]Country populations'!X185,'[2]Country populations'!AI185)</f>
        <v>19419</v>
      </c>
      <c r="O184" s="40">
        <f>IF([2]Setup!$B$20=[2]Setup!$U$19,'[2]Country populations'!Y185,'[2]Country populations'!AJ185)</f>
        <v>19119</v>
      </c>
      <c r="P184" s="40">
        <f>IF([2]Setup!$B$20=[2]Setup!$U$19,'[2]Country populations'!Z185,'[2]Country populations'!AK185)</f>
        <v>18852</v>
      </c>
      <c r="Q184" s="40">
        <f>IF([2]Setup!$B$20=[2]Setup!$U$19,'[2]Country populations'!AA185,'[2]Country populations'!AL185)</f>
        <v>17851</v>
      </c>
      <c r="R184" s="40">
        <f>IF([2]Setup!$B$20=[2]Setup!$U$19,'[2]Country populations'!AB185,'[2]Country populations'!AM185)</f>
        <v>16809</v>
      </c>
      <c r="S184" s="40">
        <f>IF([2]Setup!$B$20=[2]Setup!$U$19,'[2]Country populations'!AC185,'[2]Country populations'!AN185)</f>
        <v>15769</v>
      </c>
      <c r="T184" s="40">
        <f>IF([2]Setup!$B$20=[2]Setup!$U$19,'[2]Country populations'!AD185,'[2]Country populations'!AO185)</f>
        <v>14723</v>
      </c>
      <c r="U184" s="40">
        <f>IF([2]Setup!$B$20=[2]Setup!$U$19,'[2]Country populations'!AE185,'[2]Country populations'!AP185)</f>
        <v>13641</v>
      </c>
      <c r="V184" s="40">
        <f>IF([2]Setup!$B$20=[2]Setup!$U$19,'[2]Country populations'!AF185,'[2]Country populations'!AQ185)</f>
        <v>12563</v>
      </c>
      <c r="W184" s="40">
        <f>IF([2]Setup!$B$20=[2]Setup!$U$19,'[2]Country populations'!AG185,'[2]Country populations'!AR185)</f>
        <v>11506</v>
      </c>
      <c r="X184" s="40">
        <f>IF([2]Setup!$B$20=[2]Setup!$U$19,'[2]Country populations'!AH185,'[2]Country populations'!AS185)</f>
        <v>10427</v>
      </c>
      <c r="Y184" s="40" t="str">
        <f t="shared" si="7"/>
        <v>Togo</v>
      </c>
      <c r="Z184" s="40">
        <f>IF([2]Setup!$B$21=[2]Setup!$V$19,'[2]Country populations'!AT185,'[2]Country populations'!BE185)</f>
        <v>7589</v>
      </c>
      <c r="AA184" s="40">
        <f>IF([2]Setup!$B$21=[2]Setup!$V$19,'[2]Country populations'!AU185,'[2]Country populations'!BF185)</f>
        <v>7198</v>
      </c>
      <c r="AB184" s="40">
        <f>IF([2]Setup!$B$21=[2]Setup!$V$19,'[2]Country populations'!AV185,'[2]Country populations'!BG185)</f>
        <v>6781</v>
      </c>
      <c r="AC184" s="40">
        <f>IF([2]Setup!$B$21=[2]Setup!$V$19,'[2]Country populations'!AW185,'[2]Country populations'!BH185)</f>
        <v>6336</v>
      </c>
      <c r="AD184" s="40">
        <f>IF([2]Setup!$B$21=[2]Setup!$V$19,'[2]Country populations'!AX185,'[2]Country populations'!BI185)</f>
        <v>5891</v>
      </c>
      <c r="AE184" s="40">
        <f>IF([2]Setup!$B$21=[2]Setup!$V$19,'[2]Country populations'!AY185,'[2]Country populations'!BJ185)</f>
        <v>5458</v>
      </c>
      <c r="AF184" s="40">
        <f>IF([2]Setup!$B$21=[2]Setup!$V$19,'[2]Country populations'!AZ185,'[2]Country populations'!BK185)</f>
        <v>5050</v>
      </c>
      <c r="AG184" s="40">
        <f>IF([2]Setup!$B$21=[2]Setup!$V$19,'[2]Country populations'!BA185,'[2]Country populations'!BL185)</f>
        <v>4671</v>
      </c>
      <c r="AH184" s="40">
        <f>IF([2]Setup!$B$21=[2]Setup!$V$19,'[2]Country populations'!BB185,'[2]Country populations'!BM185)</f>
        <v>4325</v>
      </c>
      <c r="AI184" s="40">
        <f>IF([2]Setup!$B$21=[2]Setup!$V$19,'[2]Country populations'!BC185,'[2]Country populations'!BN185)</f>
        <v>4010</v>
      </c>
      <c r="AJ184" s="40">
        <f>IF([2]Setup!$B$21=[2]Setup!$V$19,'[2]Country populations'!BD185,'[2]Country populations'!BO185)</f>
        <v>3729</v>
      </c>
    </row>
    <row r="185" spans="1:36" x14ac:dyDescent="0.25">
      <c r="A185" t="str">
        <f>'[2]Country populations'!A186</f>
        <v>Tonga</v>
      </c>
      <c r="B185" s="40">
        <f>IF([2]Setup!$B$19=[2]Setup!$T$19,'[2]Country populations'!B186,'[2]Country populations'!M186)</f>
        <v>0</v>
      </c>
      <c r="C185" s="40">
        <f>IF([2]Setup!$B$19=[2]Setup!$T$19,'[2]Country populations'!C186,'[2]Country populations'!N186)</f>
        <v>0</v>
      </c>
      <c r="D185" s="40">
        <f>IF([2]Setup!$B$19=[2]Setup!$T$19,'[2]Country populations'!D186,'[2]Country populations'!O186)</f>
        <v>0</v>
      </c>
      <c r="E185" s="40">
        <f>IF([2]Setup!$B$19=[2]Setup!$T$19,'[2]Country populations'!E186,'[2]Country populations'!P186)</f>
        <v>0</v>
      </c>
      <c r="F185" s="40">
        <f>IF([2]Setup!$B$19=[2]Setup!$T$19,'[2]Country populations'!F186,'[2]Country populations'!Q186)</f>
        <v>0</v>
      </c>
      <c r="G185" s="40">
        <f>IF([2]Setup!$B$19=[2]Setup!$T$19,'[2]Country populations'!G186,'[2]Country populations'!R186)</f>
        <v>0</v>
      </c>
      <c r="H185" s="40">
        <f>IF([2]Setup!$B$19=[2]Setup!$T$19,'[2]Country populations'!H186,'[2]Country populations'!S186)</f>
        <v>0</v>
      </c>
      <c r="I185" s="40">
        <f>IF([2]Setup!$B$19=[2]Setup!$T$19,'[2]Country populations'!I186,'[2]Country populations'!T186)</f>
        <v>0</v>
      </c>
      <c r="J185" s="40">
        <f>IF([2]Setup!$B$19=[2]Setup!$T$19,'[2]Country populations'!J186,'[2]Country populations'!U186)</f>
        <v>0</v>
      </c>
      <c r="K185" s="40">
        <f>IF([2]Setup!$B$19=[2]Setup!$T$19,'[2]Country populations'!K186,'[2]Country populations'!V186)</f>
        <v>0</v>
      </c>
      <c r="L185" s="40">
        <f>IF([2]Setup!$B$19=[2]Setup!$T$19,'[2]Country populations'!L186,'[2]Country populations'!W186)</f>
        <v>0</v>
      </c>
      <c r="M185" s="40" t="str">
        <f t="shared" si="6"/>
        <v>Tonga</v>
      </c>
      <c r="N185" s="40">
        <f>IF([2]Setup!$B$20=[2]Setup!$U$19,'[2]Country populations'!X186,'[2]Country populations'!AI186)</f>
        <v>0</v>
      </c>
      <c r="O185" s="40">
        <f>IF([2]Setup!$B$20=[2]Setup!$U$19,'[2]Country populations'!Y186,'[2]Country populations'!AJ186)</f>
        <v>0</v>
      </c>
      <c r="P185" s="40">
        <f>IF([2]Setup!$B$20=[2]Setup!$U$19,'[2]Country populations'!Z186,'[2]Country populations'!AK186)</f>
        <v>0</v>
      </c>
      <c r="Q185" s="40">
        <f>IF([2]Setup!$B$20=[2]Setup!$U$19,'[2]Country populations'!AA186,'[2]Country populations'!AL186)</f>
        <v>0</v>
      </c>
      <c r="R185" s="40">
        <f>IF([2]Setup!$B$20=[2]Setup!$U$19,'[2]Country populations'!AB186,'[2]Country populations'!AM186)</f>
        <v>0</v>
      </c>
      <c r="S185" s="40">
        <f>IF([2]Setup!$B$20=[2]Setup!$U$19,'[2]Country populations'!AC186,'[2]Country populations'!AN186)</f>
        <v>0</v>
      </c>
      <c r="T185" s="40">
        <f>IF([2]Setup!$B$20=[2]Setup!$U$19,'[2]Country populations'!AD186,'[2]Country populations'!AO186)</f>
        <v>0</v>
      </c>
      <c r="U185" s="40">
        <f>IF([2]Setup!$B$20=[2]Setup!$U$19,'[2]Country populations'!AE186,'[2]Country populations'!AP186)</f>
        <v>0</v>
      </c>
      <c r="V185" s="40">
        <f>IF([2]Setup!$B$20=[2]Setup!$U$19,'[2]Country populations'!AF186,'[2]Country populations'!AQ186)</f>
        <v>0</v>
      </c>
      <c r="W185" s="40">
        <f>IF([2]Setup!$B$20=[2]Setup!$U$19,'[2]Country populations'!AG186,'[2]Country populations'!AR186)</f>
        <v>0</v>
      </c>
      <c r="X185" s="40">
        <f>IF([2]Setup!$B$20=[2]Setup!$U$19,'[2]Country populations'!AH186,'[2]Country populations'!AS186)</f>
        <v>0</v>
      </c>
      <c r="Y185" s="40" t="str">
        <f t="shared" si="7"/>
        <v>Tonga</v>
      </c>
      <c r="Z185" s="40">
        <f>IF([2]Setup!$B$21=[2]Setup!$V$19,'[2]Country populations'!AT186,'[2]Country populations'!BE186)</f>
        <v>0</v>
      </c>
      <c r="AA185" s="40">
        <f>IF([2]Setup!$B$21=[2]Setup!$V$19,'[2]Country populations'!AU186,'[2]Country populations'!BF186)</f>
        <v>0</v>
      </c>
      <c r="AB185" s="40">
        <f>IF([2]Setup!$B$21=[2]Setup!$V$19,'[2]Country populations'!AV186,'[2]Country populations'!BG186)</f>
        <v>0</v>
      </c>
      <c r="AC185" s="40">
        <f>IF([2]Setup!$B$21=[2]Setup!$V$19,'[2]Country populations'!AW186,'[2]Country populations'!BH186)</f>
        <v>0</v>
      </c>
      <c r="AD185" s="40">
        <f>IF([2]Setup!$B$21=[2]Setup!$V$19,'[2]Country populations'!AX186,'[2]Country populations'!BI186)</f>
        <v>0</v>
      </c>
      <c r="AE185" s="40">
        <f>IF([2]Setup!$B$21=[2]Setup!$V$19,'[2]Country populations'!AY186,'[2]Country populations'!BJ186)</f>
        <v>0</v>
      </c>
      <c r="AF185" s="40">
        <f>IF([2]Setup!$B$21=[2]Setup!$V$19,'[2]Country populations'!AZ186,'[2]Country populations'!BK186)</f>
        <v>0</v>
      </c>
      <c r="AG185" s="40">
        <f>IF([2]Setup!$B$21=[2]Setup!$V$19,'[2]Country populations'!BA186,'[2]Country populations'!BL186)</f>
        <v>0</v>
      </c>
      <c r="AH185" s="40">
        <f>IF([2]Setup!$B$21=[2]Setup!$V$19,'[2]Country populations'!BB186,'[2]Country populations'!BM186)</f>
        <v>0</v>
      </c>
      <c r="AI185" s="40">
        <f>IF([2]Setup!$B$21=[2]Setup!$V$19,'[2]Country populations'!BC186,'[2]Country populations'!BN186)</f>
        <v>0</v>
      </c>
      <c r="AJ185" s="40">
        <f>IF([2]Setup!$B$21=[2]Setup!$V$19,'[2]Country populations'!BD186,'[2]Country populations'!BO186)</f>
        <v>0</v>
      </c>
    </row>
    <row r="186" spans="1:36" x14ac:dyDescent="0.25">
      <c r="A186" t="str">
        <f>'[2]Country populations'!A187</f>
        <v>Trinidad and Tobago</v>
      </c>
      <c r="B186" s="40">
        <f>IF([2]Setup!$B$19=[2]Setup!$T$19,'[2]Country populations'!B187,'[2]Country populations'!M187)</f>
        <v>15115</v>
      </c>
      <c r="C186" s="40">
        <f>IF([2]Setup!$B$19=[2]Setup!$T$19,'[2]Country populations'!C187,'[2]Country populations'!N187)</f>
        <v>15303</v>
      </c>
      <c r="D186" s="40">
        <f>IF([2]Setup!$B$19=[2]Setup!$T$19,'[2]Country populations'!D187,'[2]Country populations'!O187)</f>
        <v>15449</v>
      </c>
      <c r="E186" s="40">
        <f>IF([2]Setup!$B$19=[2]Setup!$T$19,'[2]Country populations'!E187,'[2]Country populations'!P187)</f>
        <v>15554</v>
      </c>
      <c r="F186" s="40">
        <f>IF([2]Setup!$B$19=[2]Setup!$T$19,'[2]Country populations'!F187,'[2]Country populations'!Q187)</f>
        <v>15618</v>
      </c>
      <c r="G186" s="40">
        <f>IF([2]Setup!$B$19=[2]Setup!$T$19,'[2]Country populations'!G187,'[2]Country populations'!R187)</f>
        <v>15648</v>
      </c>
      <c r="H186" s="40">
        <f>IF([2]Setup!$B$19=[2]Setup!$T$19,'[2]Country populations'!H187,'[2]Country populations'!S187)</f>
        <v>15656</v>
      </c>
      <c r="I186" s="40">
        <f>IF([2]Setup!$B$19=[2]Setup!$T$19,'[2]Country populations'!I187,'[2]Country populations'!T187)</f>
        <v>15646</v>
      </c>
      <c r="J186" s="40">
        <f>IF([2]Setup!$B$19=[2]Setup!$T$19,'[2]Country populations'!J187,'[2]Country populations'!U187)</f>
        <v>15625</v>
      </c>
      <c r="K186" s="40">
        <f>IF([2]Setup!$B$19=[2]Setup!$T$19,'[2]Country populations'!K187,'[2]Country populations'!V187)</f>
        <v>15592</v>
      </c>
      <c r="L186" s="40">
        <f>IF([2]Setup!$B$19=[2]Setup!$T$19,'[2]Country populations'!L187,'[2]Country populations'!W187)</f>
        <v>15535</v>
      </c>
      <c r="M186" s="40" t="str">
        <f t="shared" si="6"/>
        <v>Trinidad and Tobago</v>
      </c>
      <c r="N186" s="40">
        <f>IF([2]Setup!$B$20=[2]Setup!$U$19,'[2]Country populations'!X187,'[2]Country populations'!AI187)</f>
        <v>286</v>
      </c>
      <c r="O186" s="40">
        <f>IF([2]Setup!$B$20=[2]Setup!$U$19,'[2]Country populations'!Y187,'[2]Country populations'!AJ187)</f>
        <v>286</v>
      </c>
      <c r="P186" s="40">
        <f>IF([2]Setup!$B$20=[2]Setup!$U$19,'[2]Country populations'!Z187,'[2]Country populations'!AK187)</f>
        <v>277</v>
      </c>
      <c r="Q186" s="40">
        <f>IF([2]Setup!$B$20=[2]Setup!$U$19,'[2]Country populations'!AA187,'[2]Country populations'!AL187)</f>
        <v>267</v>
      </c>
      <c r="R186" s="40">
        <f>IF([2]Setup!$B$20=[2]Setup!$U$19,'[2]Country populations'!AB187,'[2]Country populations'!AM187)</f>
        <v>254</v>
      </c>
      <c r="S186" s="40">
        <f>IF([2]Setup!$B$20=[2]Setup!$U$19,'[2]Country populations'!AC187,'[2]Country populations'!AN187)</f>
        <v>237</v>
      </c>
      <c r="T186" s="40">
        <f>IF([2]Setup!$B$20=[2]Setup!$U$19,'[2]Country populations'!AD187,'[2]Country populations'!AO187)</f>
        <v>217</v>
      </c>
      <c r="U186" s="40">
        <f>IF([2]Setup!$B$20=[2]Setup!$U$19,'[2]Country populations'!AE187,'[2]Country populations'!AP187)</f>
        <v>193</v>
      </c>
      <c r="V186" s="40">
        <f>IF([2]Setup!$B$20=[2]Setup!$U$19,'[2]Country populations'!AF187,'[2]Country populations'!AQ187)</f>
        <v>165</v>
      </c>
      <c r="W186" s="40">
        <f>IF([2]Setup!$B$20=[2]Setup!$U$19,'[2]Country populations'!AG187,'[2]Country populations'!AR187)</f>
        <v>131</v>
      </c>
      <c r="X186" s="40">
        <f>IF([2]Setup!$B$20=[2]Setup!$U$19,'[2]Country populations'!AH187,'[2]Country populations'!AS187)</f>
        <v>111</v>
      </c>
      <c r="Y186" s="40" t="str">
        <f t="shared" si="7"/>
        <v>Trinidad and Tobago</v>
      </c>
      <c r="Z186" s="40">
        <f>IF([2]Setup!$B$21=[2]Setup!$V$19,'[2]Country populations'!AT187,'[2]Country populations'!BE187)</f>
        <v>179</v>
      </c>
      <c r="AA186" s="40">
        <f>IF([2]Setup!$B$21=[2]Setup!$V$19,'[2]Country populations'!AU187,'[2]Country populations'!BF187)</f>
        <v>172</v>
      </c>
      <c r="AB186" s="40">
        <f>IF([2]Setup!$B$21=[2]Setup!$V$19,'[2]Country populations'!AV187,'[2]Country populations'!BG187)</f>
        <v>163</v>
      </c>
      <c r="AC186" s="40">
        <f>IF([2]Setup!$B$21=[2]Setup!$V$19,'[2]Country populations'!AW187,'[2]Country populations'!BH187)</f>
        <v>154</v>
      </c>
      <c r="AD186" s="40">
        <f>IF([2]Setup!$B$21=[2]Setup!$V$19,'[2]Country populations'!AX187,'[2]Country populations'!BI187)</f>
        <v>144</v>
      </c>
      <c r="AE186" s="40">
        <f>IF([2]Setup!$B$21=[2]Setup!$V$19,'[2]Country populations'!AY187,'[2]Country populations'!BJ187)</f>
        <v>135</v>
      </c>
      <c r="AF186" s="40">
        <f>IF([2]Setup!$B$21=[2]Setup!$V$19,'[2]Country populations'!AZ187,'[2]Country populations'!BK187)</f>
        <v>126</v>
      </c>
      <c r="AG186" s="40">
        <f>IF([2]Setup!$B$21=[2]Setup!$V$19,'[2]Country populations'!BA187,'[2]Country populations'!BL187)</f>
        <v>118</v>
      </c>
      <c r="AH186" s="40">
        <f>IF([2]Setup!$B$21=[2]Setup!$V$19,'[2]Country populations'!BB187,'[2]Country populations'!BM187)</f>
        <v>111</v>
      </c>
      <c r="AI186" s="40">
        <f>IF([2]Setup!$B$21=[2]Setup!$V$19,'[2]Country populations'!BC187,'[2]Country populations'!BN187)</f>
        <v>105</v>
      </c>
      <c r="AJ186" s="40">
        <f>IF([2]Setup!$B$21=[2]Setup!$V$19,'[2]Country populations'!BD187,'[2]Country populations'!BO187)</f>
        <v>99</v>
      </c>
    </row>
    <row r="187" spans="1:36" x14ac:dyDescent="0.25">
      <c r="A187" t="str">
        <f>'[2]Country populations'!A188</f>
        <v>Tunisia</v>
      </c>
      <c r="B187" s="40">
        <f>IF([2]Setup!$B$19=[2]Setup!$T$19,'[2]Country populations'!B188,'[2]Country populations'!M188)</f>
        <v>4660</v>
      </c>
      <c r="C187" s="40">
        <f>IF([2]Setup!$B$19=[2]Setup!$T$19,'[2]Country populations'!C188,'[2]Country populations'!N188)</f>
        <v>5041</v>
      </c>
      <c r="D187" s="40">
        <f>IF([2]Setup!$B$19=[2]Setup!$T$19,'[2]Country populations'!D188,'[2]Country populations'!O188)</f>
        <v>5417</v>
      </c>
      <c r="E187" s="40">
        <f>IF([2]Setup!$B$19=[2]Setup!$T$19,'[2]Country populations'!E188,'[2]Country populations'!P188)</f>
        <v>5782</v>
      </c>
      <c r="F187" s="40">
        <f>IF([2]Setup!$B$19=[2]Setup!$T$19,'[2]Country populations'!F188,'[2]Country populations'!Q188)</f>
        <v>6133</v>
      </c>
      <c r="G187" s="40">
        <f>IF([2]Setup!$B$19=[2]Setup!$T$19,'[2]Country populations'!G188,'[2]Country populations'!R188)</f>
        <v>6466</v>
      </c>
      <c r="H187" s="40">
        <f>IF([2]Setup!$B$19=[2]Setup!$T$19,'[2]Country populations'!H188,'[2]Country populations'!S188)</f>
        <v>6797</v>
      </c>
      <c r="I187" s="40">
        <f>IF([2]Setup!$B$19=[2]Setup!$T$19,'[2]Country populations'!I188,'[2]Country populations'!T188)</f>
        <v>7114</v>
      </c>
      <c r="J187" s="40">
        <f>IF([2]Setup!$B$19=[2]Setup!$T$19,'[2]Country populations'!J188,'[2]Country populations'!U188)</f>
        <v>7417</v>
      </c>
      <c r="K187" s="40">
        <f>IF([2]Setup!$B$19=[2]Setup!$T$19,'[2]Country populations'!K188,'[2]Country populations'!V188)</f>
        <v>7707</v>
      </c>
      <c r="L187" s="40">
        <f>IF([2]Setup!$B$19=[2]Setup!$T$19,'[2]Country populations'!L188,'[2]Country populations'!W188)</f>
        <v>7982</v>
      </c>
      <c r="M187" s="40" t="str">
        <f t="shared" si="6"/>
        <v>Tunisia</v>
      </c>
      <c r="N187" s="40">
        <f>IF([2]Setup!$B$20=[2]Setup!$U$19,'[2]Country populations'!X188,'[2]Country populations'!AI188)</f>
        <v>74</v>
      </c>
      <c r="O187" s="40">
        <f>IF([2]Setup!$B$20=[2]Setup!$U$19,'[2]Country populations'!Y188,'[2]Country populations'!AJ188)</f>
        <v>80</v>
      </c>
      <c r="P187" s="40">
        <f>IF([2]Setup!$B$20=[2]Setup!$U$19,'[2]Country populations'!Z188,'[2]Country populations'!AK188)</f>
        <v>85</v>
      </c>
      <c r="Q187" s="40">
        <f>IF([2]Setup!$B$20=[2]Setup!$U$19,'[2]Country populations'!AA188,'[2]Country populations'!AL188)</f>
        <v>88</v>
      </c>
      <c r="R187" s="40">
        <f>IF([2]Setup!$B$20=[2]Setup!$U$19,'[2]Country populations'!AB188,'[2]Country populations'!AM188)</f>
        <v>90</v>
      </c>
      <c r="S187" s="40">
        <f>IF([2]Setup!$B$20=[2]Setup!$U$19,'[2]Country populations'!AC188,'[2]Country populations'!AN188)</f>
        <v>91</v>
      </c>
      <c r="T187" s="40">
        <f>IF([2]Setup!$B$20=[2]Setup!$U$19,'[2]Country populations'!AD188,'[2]Country populations'!AO188)</f>
        <v>94</v>
      </c>
      <c r="U187" s="40">
        <f>IF([2]Setup!$B$20=[2]Setup!$U$19,'[2]Country populations'!AE188,'[2]Country populations'!AP188)</f>
        <v>97</v>
      </c>
      <c r="V187" s="40">
        <f>IF([2]Setup!$B$20=[2]Setup!$U$19,'[2]Country populations'!AF188,'[2]Country populations'!AQ188)</f>
        <v>99</v>
      </c>
      <c r="W187" s="40">
        <f>IF([2]Setup!$B$20=[2]Setup!$U$19,'[2]Country populations'!AG188,'[2]Country populations'!AR188)</f>
        <v>100</v>
      </c>
      <c r="X187" s="40">
        <f>IF([2]Setup!$B$20=[2]Setup!$U$19,'[2]Country populations'!AH188,'[2]Country populations'!AS188)</f>
        <v>101</v>
      </c>
      <c r="Y187" s="40" t="str">
        <f t="shared" si="7"/>
        <v>Tunisia</v>
      </c>
      <c r="Z187" s="40">
        <f>IF([2]Setup!$B$21=[2]Setup!$V$19,'[2]Country populations'!AT188,'[2]Country populations'!BE188)</f>
        <v>59</v>
      </c>
      <c r="AA187" s="40">
        <f>IF([2]Setup!$B$21=[2]Setup!$V$19,'[2]Country populations'!AU188,'[2]Country populations'!BF188)</f>
        <v>62</v>
      </c>
      <c r="AB187" s="40">
        <f>IF([2]Setup!$B$21=[2]Setup!$V$19,'[2]Country populations'!AV188,'[2]Country populations'!BG188)</f>
        <v>66</v>
      </c>
      <c r="AC187" s="40">
        <f>IF([2]Setup!$B$21=[2]Setup!$V$19,'[2]Country populations'!AW188,'[2]Country populations'!BH188)</f>
        <v>69</v>
      </c>
      <c r="AD187" s="40">
        <f>IF([2]Setup!$B$21=[2]Setup!$V$19,'[2]Country populations'!AX188,'[2]Country populations'!BI188)</f>
        <v>73</v>
      </c>
      <c r="AE187" s="40">
        <f>IF([2]Setup!$B$21=[2]Setup!$V$19,'[2]Country populations'!AY188,'[2]Country populations'!BJ188)</f>
        <v>75</v>
      </c>
      <c r="AF187" s="40">
        <f>IF([2]Setup!$B$21=[2]Setup!$V$19,'[2]Country populations'!AZ188,'[2]Country populations'!BK188)</f>
        <v>77</v>
      </c>
      <c r="AG187" s="40">
        <f>IF([2]Setup!$B$21=[2]Setup!$V$19,'[2]Country populations'!BA188,'[2]Country populations'!BL188)</f>
        <v>78</v>
      </c>
      <c r="AH187" s="40">
        <f>IF([2]Setup!$B$21=[2]Setup!$V$19,'[2]Country populations'!BB188,'[2]Country populations'!BM188)</f>
        <v>79</v>
      </c>
      <c r="AI187" s="40">
        <f>IF([2]Setup!$B$21=[2]Setup!$V$19,'[2]Country populations'!BC188,'[2]Country populations'!BN188)</f>
        <v>79</v>
      </c>
      <c r="AJ187" s="40">
        <f>IF([2]Setup!$B$21=[2]Setup!$V$19,'[2]Country populations'!BD188,'[2]Country populations'!BO188)</f>
        <v>79</v>
      </c>
    </row>
    <row r="188" spans="1:36" x14ac:dyDescent="0.25">
      <c r="A188" t="str">
        <f>'[2]Country populations'!A189</f>
        <v>Turkey</v>
      </c>
      <c r="B188" s="40">
        <f>IF([2]Setup!$B$19=[2]Setup!$T$19,'[2]Country populations'!B189,'[2]Country populations'!M189)</f>
        <v>10712</v>
      </c>
      <c r="C188" s="40">
        <f>IF([2]Setup!$B$19=[2]Setup!$T$19,'[2]Country populations'!C189,'[2]Country populations'!N189)</f>
        <v>11891</v>
      </c>
      <c r="D188" s="40">
        <f>IF([2]Setup!$B$19=[2]Setup!$T$19,'[2]Country populations'!D189,'[2]Country populations'!O189)</f>
        <v>13059</v>
      </c>
      <c r="E188" s="40">
        <f>IF([2]Setup!$B$19=[2]Setup!$T$19,'[2]Country populations'!E189,'[2]Country populations'!P189)</f>
        <v>14219</v>
      </c>
      <c r="F188" s="40">
        <f>IF([2]Setup!$B$19=[2]Setup!$T$19,'[2]Country populations'!F189,'[2]Country populations'!Q189)</f>
        <v>15370</v>
      </c>
      <c r="G188" s="40">
        <f>IF([2]Setup!$B$19=[2]Setup!$T$19,'[2]Country populations'!G189,'[2]Country populations'!R189)</f>
        <v>16513</v>
      </c>
      <c r="H188" s="40">
        <f>IF([2]Setup!$B$19=[2]Setup!$T$19,'[2]Country populations'!H189,'[2]Country populations'!S189)</f>
        <v>17650</v>
      </c>
      <c r="I188" s="40">
        <f>IF([2]Setup!$B$19=[2]Setup!$T$19,'[2]Country populations'!I189,'[2]Country populations'!T189)</f>
        <v>18779</v>
      </c>
      <c r="J188" s="40">
        <f>IF([2]Setup!$B$19=[2]Setup!$T$19,'[2]Country populations'!J189,'[2]Country populations'!U189)</f>
        <v>19897</v>
      </c>
      <c r="K188" s="40">
        <f>IF([2]Setup!$B$19=[2]Setup!$T$19,'[2]Country populations'!K189,'[2]Country populations'!V189)</f>
        <v>21005</v>
      </c>
      <c r="L188" s="40">
        <f>IF([2]Setup!$B$19=[2]Setup!$T$19,'[2]Country populations'!L189,'[2]Country populations'!W189)</f>
        <v>22100</v>
      </c>
      <c r="M188" s="40" t="str">
        <f t="shared" si="6"/>
        <v>Turkey</v>
      </c>
      <c r="N188" s="40">
        <f>IF([2]Setup!$B$20=[2]Setup!$U$19,'[2]Country populations'!X189,'[2]Country populations'!AI189)</f>
        <v>151</v>
      </c>
      <c r="O188" s="40">
        <f>IF([2]Setup!$B$20=[2]Setup!$U$19,'[2]Country populations'!Y189,'[2]Country populations'!AJ189)</f>
        <v>167</v>
      </c>
      <c r="P188" s="40">
        <f>IF([2]Setup!$B$20=[2]Setup!$U$19,'[2]Country populations'!Z189,'[2]Country populations'!AK189)</f>
        <v>183</v>
      </c>
      <c r="Q188" s="40">
        <f>IF([2]Setup!$B$20=[2]Setup!$U$19,'[2]Country populations'!AA189,'[2]Country populations'!AL189)</f>
        <v>199</v>
      </c>
      <c r="R188" s="40">
        <f>IF([2]Setup!$B$20=[2]Setup!$U$19,'[2]Country populations'!AB189,'[2]Country populations'!AM189)</f>
        <v>216</v>
      </c>
      <c r="S188" s="40">
        <f>IF([2]Setup!$B$20=[2]Setup!$U$19,'[2]Country populations'!AC189,'[2]Country populations'!AN189)</f>
        <v>232</v>
      </c>
      <c r="T188" s="40">
        <f>IF([2]Setup!$B$20=[2]Setup!$U$19,'[2]Country populations'!AD189,'[2]Country populations'!AO189)</f>
        <v>248</v>
      </c>
      <c r="U188" s="40">
        <f>IF([2]Setup!$B$20=[2]Setup!$U$19,'[2]Country populations'!AE189,'[2]Country populations'!AP189)</f>
        <v>263</v>
      </c>
      <c r="V188" s="40">
        <f>IF([2]Setup!$B$20=[2]Setup!$U$19,'[2]Country populations'!AF189,'[2]Country populations'!AQ189)</f>
        <v>277</v>
      </c>
      <c r="W188" s="40">
        <f>IF([2]Setup!$B$20=[2]Setup!$U$19,'[2]Country populations'!AG189,'[2]Country populations'!AR189)</f>
        <v>292</v>
      </c>
      <c r="X188" s="40">
        <f>IF([2]Setup!$B$20=[2]Setup!$U$19,'[2]Country populations'!AH189,'[2]Country populations'!AS189)</f>
        <v>306</v>
      </c>
      <c r="Y188" s="40" t="str">
        <f t="shared" si="7"/>
        <v>Turkey</v>
      </c>
      <c r="Z188" s="40">
        <f>IF([2]Setup!$B$21=[2]Setup!$V$19,'[2]Country populations'!AT189,'[2]Country populations'!BE189)</f>
        <v>128</v>
      </c>
      <c r="AA188" s="40">
        <f>IF([2]Setup!$B$21=[2]Setup!$V$19,'[2]Country populations'!AU189,'[2]Country populations'!BF189)</f>
        <v>139</v>
      </c>
      <c r="AB188" s="40">
        <f>IF([2]Setup!$B$21=[2]Setup!$V$19,'[2]Country populations'!AV189,'[2]Country populations'!BG189)</f>
        <v>150</v>
      </c>
      <c r="AC188" s="40">
        <f>IF([2]Setup!$B$21=[2]Setup!$V$19,'[2]Country populations'!AW189,'[2]Country populations'!BH189)</f>
        <v>160</v>
      </c>
      <c r="AD188" s="40">
        <f>IF([2]Setup!$B$21=[2]Setup!$V$19,'[2]Country populations'!AX189,'[2]Country populations'!BI189)</f>
        <v>169</v>
      </c>
      <c r="AE188" s="40">
        <f>IF([2]Setup!$B$21=[2]Setup!$V$19,'[2]Country populations'!AY189,'[2]Country populations'!BJ189)</f>
        <v>178</v>
      </c>
      <c r="AF188" s="40">
        <f>IF([2]Setup!$B$21=[2]Setup!$V$19,'[2]Country populations'!AZ189,'[2]Country populations'!BK189)</f>
        <v>185</v>
      </c>
      <c r="AG188" s="40">
        <f>IF([2]Setup!$B$21=[2]Setup!$V$19,'[2]Country populations'!BA189,'[2]Country populations'!BL189)</f>
        <v>192</v>
      </c>
      <c r="AH188" s="40">
        <f>IF([2]Setup!$B$21=[2]Setup!$V$19,'[2]Country populations'!BB189,'[2]Country populations'!BM189)</f>
        <v>199</v>
      </c>
      <c r="AI188" s="40">
        <f>IF([2]Setup!$B$21=[2]Setup!$V$19,'[2]Country populations'!BC189,'[2]Country populations'!BN189)</f>
        <v>205</v>
      </c>
      <c r="AJ188" s="40">
        <f>IF([2]Setup!$B$21=[2]Setup!$V$19,'[2]Country populations'!BD189,'[2]Country populations'!BO189)</f>
        <v>210</v>
      </c>
    </row>
    <row r="189" spans="1:36" x14ac:dyDescent="0.25">
      <c r="A189" t="str">
        <f>'[2]Country populations'!A190</f>
        <v>Turkmenistan</v>
      </c>
      <c r="B189" s="40">
        <f>IF([2]Setup!$B$19=[2]Setup!$T$19,'[2]Country populations'!B190,'[2]Country populations'!M190)</f>
        <v>0</v>
      </c>
      <c r="C189" s="40">
        <f>IF([2]Setup!$B$19=[2]Setup!$T$19,'[2]Country populations'!C190,'[2]Country populations'!N190)</f>
        <v>0</v>
      </c>
      <c r="D189" s="40">
        <f>IF([2]Setup!$B$19=[2]Setup!$T$19,'[2]Country populations'!D190,'[2]Country populations'!O190)</f>
        <v>0</v>
      </c>
      <c r="E189" s="40">
        <f>IF([2]Setup!$B$19=[2]Setup!$T$19,'[2]Country populations'!E190,'[2]Country populations'!P190)</f>
        <v>0</v>
      </c>
      <c r="F189" s="40">
        <f>IF([2]Setup!$B$19=[2]Setup!$T$19,'[2]Country populations'!F190,'[2]Country populations'!Q190)</f>
        <v>0</v>
      </c>
      <c r="G189" s="40">
        <f>IF([2]Setup!$B$19=[2]Setup!$T$19,'[2]Country populations'!G190,'[2]Country populations'!R190)</f>
        <v>0</v>
      </c>
      <c r="H189" s="40">
        <f>IF([2]Setup!$B$19=[2]Setup!$T$19,'[2]Country populations'!H190,'[2]Country populations'!S190)</f>
        <v>0</v>
      </c>
      <c r="I189" s="40">
        <f>IF([2]Setup!$B$19=[2]Setup!$T$19,'[2]Country populations'!I190,'[2]Country populations'!T190)</f>
        <v>0</v>
      </c>
      <c r="J189" s="40">
        <f>IF([2]Setup!$B$19=[2]Setup!$T$19,'[2]Country populations'!J190,'[2]Country populations'!U190)</f>
        <v>0</v>
      </c>
      <c r="K189" s="40">
        <f>IF([2]Setup!$B$19=[2]Setup!$T$19,'[2]Country populations'!K190,'[2]Country populations'!V190)</f>
        <v>0</v>
      </c>
      <c r="L189" s="40">
        <f>IF([2]Setup!$B$19=[2]Setup!$T$19,'[2]Country populations'!L190,'[2]Country populations'!W190)</f>
        <v>0</v>
      </c>
      <c r="M189" s="40" t="str">
        <f t="shared" si="6"/>
        <v>Turkmenistan</v>
      </c>
      <c r="N189" s="40">
        <f>IF([2]Setup!$B$20=[2]Setup!$U$19,'[2]Country populations'!X190,'[2]Country populations'!AI190)</f>
        <v>0</v>
      </c>
      <c r="O189" s="40">
        <f>IF([2]Setup!$B$20=[2]Setup!$U$19,'[2]Country populations'!Y190,'[2]Country populations'!AJ190)</f>
        <v>0</v>
      </c>
      <c r="P189" s="40">
        <f>IF([2]Setup!$B$20=[2]Setup!$U$19,'[2]Country populations'!Z190,'[2]Country populations'!AK190)</f>
        <v>0</v>
      </c>
      <c r="Q189" s="40">
        <f>IF([2]Setup!$B$20=[2]Setup!$U$19,'[2]Country populations'!AA190,'[2]Country populations'!AL190)</f>
        <v>0</v>
      </c>
      <c r="R189" s="40">
        <f>IF([2]Setup!$B$20=[2]Setup!$U$19,'[2]Country populations'!AB190,'[2]Country populations'!AM190)</f>
        <v>0</v>
      </c>
      <c r="S189" s="40">
        <f>IF([2]Setup!$B$20=[2]Setup!$U$19,'[2]Country populations'!AC190,'[2]Country populations'!AN190)</f>
        <v>0</v>
      </c>
      <c r="T189" s="40">
        <f>IF([2]Setup!$B$20=[2]Setup!$U$19,'[2]Country populations'!AD190,'[2]Country populations'!AO190)</f>
        <v>0</v>
      </c>
      <c r="U189" s="40">
        <f>IF([2]Setup!$B$20=[2]Setup!$U$19,'[2]Country populations'!AE190,'[2]Country populations'!AP190)</f>
        <v>0</v>
      </c>
      <c r="V189" s="40">
        <f>IF([2]Setup!$B$20=[2]Setup!$U$19,'[2]Country populations'!AF190,'[2]Country populations'!AQ190)</f>
        <v>0</v>
      </c>
      <c r="W189" s="40">
        <f>IF([2]Setup!$B$20=[2]Setup!$U$19,'[2]Country populations'!AG190,'[2]Country populations'!AR190)</f>
        <v>0</v>
      </c>
      <c r="X189" s="40">
        <f>IF([2]Setup!$B$20=[2]Setup!$U$19,'[2]Country populations'!AH190,'[2]Country populations'!AS190)</f>
        <v>0</v>
      </c>
      <c r="Y189" s="40" t="str">
        <f t="shared" si="7"/>
        <v>Turkmenistan</v>
      </c>
      <c r="Z189" s="40">
        <f>IF([2]Setup!$B$21=[2]Setup!$V$19,'[2]Country populations'!AT190,'[2]Country populations'!BE190)</f>
        <v>0</v>
      </c>
      <c r="AA189" s="40">
        <f>IF([2]Setup!$B$21=[2]Setup!$V$19,'[2]Country populations'!AU190,'[2]Country populations'!BF190)</f>
        <v>0</v>
      </c>
      <c r="AB189" s="40">
        <f>IF([2]Setup!$B$21=[2]Setup!$V$19,'[2]Country populations'!AV190,'[2]Country populations'!BG190)</f>
        <v>0</v>
      </c>
      <c r="AC189" s="40">
        <f>IF([2]Setup!$B$21=[2]Setup!$V$19,'[2]Country populations'!AW190,'[2]Country populations'!BH190)</f>
        <v>0</v>
      </c>
      <c r="AD189" s="40">
        <f>IF([2]Setup!$B$21=[2]Setup!$V$19,'[2]Country populations'!AX190,'[2]Country populations'!BI190)</f>
        <v>0</v>
      </c>
      <c r="AE189" s="40">
        <f>IF([2]Setup!$B$21=[2]Setup!$V$19,'[2]Country populations'!AY190,'[2]Country populations'!BJ190)</f>
        <v>0</v>
      </c>
      <c r="AF189" s="40">
        <f>IF([2]Setup!$B$21=[2]Setup!$V$19,'[2]Country populations'!AZ190,'[2]Country populations'!BK190)</f>
        <v>0</v>
      </c>
      <c r="AG189" s="40">
        <f>IF([2]Setup!$B$21=[2]Setup!$V$19,'[2]Country populations'!BA190,'[2]Country populations'!BL190)</f>
        <v>0</v>
      </c>
      <c r="AH189" s="40">
        <f>IF([2]Setup!$B$21=[2]Setup!$V$19,'[2]Country populations'!BB190,'[2]Country populations'!BM190)</f>
        <v>0</v>
      </c>
      <c r="AI189" s="40">
        <f>IF([2]Setup!$B$21=[2]Setup!$V$19,'[2]Country populations'!BC190,'[2]Country populations'!BN190)</f>
        <v>0</v>
      </c>
      <c r="AJ189" s="40">
        <f>IF([2]Setup!$B$21=[2]Setup!$V$19,'[2]Country populations'!BD190,'[2]Country populations'!BO190)</f>
        <v>0</v>
      </c>
    </row>
    <row r="190" spans="1:36" x14ac:dyDescent="0.25">
      <c r="A190" t="str">
        <f>'[2]Country populations'!A191</f>
        <v>Uganda</v>
      </c>
      <c r="B190" s="40">
        <f>IF([2]Setup!$B$19=[2]Setup!$T$19,'[2]Country populations'!B191,'[2]Country populations'!M191)</f>
        <v>1671940</v>
      </c>
      <c r="C190" s="40">
        <f>IF([2]Setup!$B$19=[2]Setup!$T$19,'[2]Country populations'!C191,'[2]Country populations'!N191)</f>
        <v>1725636</v>
      </c>
      <c r="D190" s="40">
        <f>IF([2]Setup!$B$19=[2]Setup!$T$19,'[2]Country populations'!D191,'[2]Country populations'!O191)</f>
        <v>1774366</v>
      </c>
      <c r="E190" s="40">
        <f>IF([2]Setup!$B$19=[2]Setup!$T$19,'[2]Country populations'!E191,'[2]Country populations'!P191)</f>
        <v>1827361</v>
      </c>
      <c r="F190" s="40">
        <f>IF([2]Setup!$B$19=[2]Setup!$T$19,'[2]Country populations'!F191,'[2]Country populations'!Q191)</f>
        <v>1878327</v>
      </c>
      <c r="G190" s="40">
        <f>IF([2]Setup!$B$19=[2]Setup!$T$19,'[2]Country populations'!G191,'[2]Country populations'!R191)</f>
        <v>1927064</v>
      </c>
      <c r="H190" s="40">
        <f>IF([2]Setup!$B$19=[2]Setup!$T$19,'[2]Country populations'!H191,'[2]Country populations'!S191)</f>
        <v>1981718</v>
      </c>
      <c r="I190" s="40">
        <f>IF([2]Setup!$B$19=[2]Setup!$T$19,'[2]Country populations'!I191,'[2]Country populations'!T191)</f>
        <v>2038833</v>
      </c>
      <c r="J190" s="40">
        <f>IF([2]Setup!$B$19=[2]Setup!$T$19,'[2]Country populations'!J191,'[2]Country populations'!U191)</f>
        <v>2098266</v>
      </c>
      <c r="K190" s="40">
        <f>IF([2]Setup!$B$19=[2]Setup!$T$19,'[2]Country populations'!K191,'[2]Country populations'!V191)</f>
        <v>2159774</v>
      </c>
      <c r="L190" s="40">
        <f>IF([2]Setup!$B$19=[2]Setup!$T$19,'[2]Country populations'!L191,'[2]Country populations'!W191)</f>
        <v>2223215</v>
      </c>
      <c r="M190" s="40" t="str">
        <f t="shared" si="6"/>
        <v>Uganda</v>
      </c>
      <c r="N190" s="40">
        <f>IF([2]Setup!$B$20=[2]Setup!$U$19,'[2]Country populations'!X191,'[2]Country populations'!AI191)</f>
        <v>196691</v>
      </c>
      <c r="O190" s="40">
        <f>IF([2]Setup!$B$20=[2]Setup!$U$19,'[2]Country populations'!Y191,'[2]Country populations'!AJ191)</f>
        <v>188624</v>
      </c>
      <c r="P190" s="40">
        <f>IF([2]Setup!$B$20=[2]Setup!$U$19,'[2]Country populations'!Z191,'[2]Country populations'!AK191)</f>
        <v>180976</v>
      </c>
      <c r="Q190" s="40">
        <f>IF([2]Setup!$B$20=[2]Setup!$U$19,'[2]Country populations'!AA191,'[2]Country populations'!AL191)</f>
        <v>174712</v>
      </c>
      <c r="R190" s="40">
        <f>IF([2]Setup!$B$20=[2]Setup!$U$19,'[2]Country populations'!AB191,'[2]Country populations'!AM191)</f>
        <v>169151</v>
      </c>
      <c r="S190" s="40">
        <f>IF([2]Setup!$B$20=[2]Setup!$U$19,'[2]Country populations'!AC191,'[2]Country populations'!AN191)</f>
        <v>164204</v>
      </c>
      <c r="T190" s="40">
        <f>IF([2]Setup!$B$20=[2]Setup!$U$19,'[2]Country populations'!AD191,'[2]Country populations'!AO191)</f>
        <v>159062</v>
      </c>
      <c r="U190" s="40">
        <f>IF([2]Setup!$B$20=[2]Setup!$U$19,'[2]Country populations'!AE191,'[2]Country populations'!AP191)</f>
        <v>152175</v>
      </c>
      <c r="V190" s="40">
        <f>IF([2]Setup!$B$20=[2]Setup!$U$19,'[2]Country populations'!AF191,'[2]Country populations'!AQ191)</f>
        <v>142947</v>
      </c>
      <c r="W190" s="40">
        <f>IF([2]Setup!$B$20=[2]Setup!$U$19,'[2]Country populations'!AG191,'[2]Country populations'!AR191)</f>
        <v>132346</v>
      </c>
      <c r="X190" s="40">
        <f>IF([2]Setup!$B$20=[2]Setup!$U$19,'[2]Country populations'!AH191,'[2]Country populations'!AS191)</f>
        <v>120712</v>
      </c>
      <c r="Y190" s="40" t="str">
        <f t="shared" si="7"/>
        <v>Uganda</v>
      </c>
      <c r="Z190" s="40">
        <f>IF([2]Setup!$B$21=[2]Setup!$V$19,'[2]Country populations'!AT191,'[2]Country populations'!BE191)</f>
        <v>143494</v>
      </c>
      <c r="AA190" s="40">
        <f>IF([2]Setup!$B$21=[2]Setup!$V$19,'[2]Country populations'!AU191,'[2]Country populations'!BF191)</f>
        <v>144877</v>
      </c>
      <c r="AB190" s="40">
        <f>IF([2]Setup!$B$21=[2]Setup!$V$19,'[2]Country populations'!AV191,'[2]Country populations'!BG191)</f>
        <v>145071</v>
      </c>
      <c r="AC190" s="40">
        <f>IF([2]Setup!$B$21=[2]Setup!$V$19,'[2]Country populations'!AW191,'[2]Country populations'!BH191)</f>
        <v>145139</v>
      </c>
      <c r="AD190" s="40">
        <f>IF([2]Setup!$B$21=[2]Setup!$V$19,'[2]Country populations'!AX191,'[2]Country populations'!BI191)</f>
        <v>144433</v>
      </c>
      <c r="AE190" s="40">
        <f>IF([2]Setup!$B$21=[2]Setup!$V$19,'[2]Country populations'!AY191,'[2]Country populations'!BJ191)</f>
        <v>142690</v>
      </c>
      <c r="AF190" s="40">
        <f>IF([2]Setup!$B$21=[2]Setup!$V$19,'[2]Country populations'!AZ191,'[2]Country populations'!BK191)</f>
        <v>140335</v>
      </c>
      <c r="AG190" s="40">
        <f>IF([2]Setup!$B$21=[2]Setup!$V$19,'[2]Country populations'!BA191,'[2]Country populations'!BL191)</f>
        <v>137841</v>
      </c>
      <c r="AH190" s="40">
        <f>IF([2]Setup!$B$21=[2]Setup!$V$19,'[2]Country populations'!BB191,'[2]Country populations'!BM191)</f>
        <v>135469</v>
      </c>
      <c r="AI190" s="40">
        <f>IF([2]Setup!$B$21=[2]Setup!$V$19,'[2]Country populations'!BC191,'[2]Country populations'!BN191)</f>
        <v>133260</v>
      </c>
      <c r="AJ190" s="40">
        <f>IF([2]Setup!$B$21=[2]Setup!$V$19,'[2]Country populations'!BD191,'[2]Country populations'!BO191)</f>
        <v>131255</v>
      </c>
    </row>
    <row r="191" spans="1:36" x14ac:dyDescent="0.25">
      <c r="A191" t="str">
        <f>'[2]Country populations'!A192</f>
        <v>Ukraine</v>
      </c>
      <c r="B191" s="40">
        <f>IF([2]Setup!$B$19=[2]Setup!$T$19,'[2]Country populations'!B192,'[2]Country populations'!M192)</f>
        <v>261960</v>
      </c>
      <c r="C191" s="40">
        <f>IF([2]Setup!$B$19=[2]Setup!$T$19,'[2]Country populations'!C192,'[2]Country populations'!N192)</f>
        <v>264040</v>
      </c>
      <c r="D191" s="40">
        <f>IF([2]Setup!$B$19=[2]Setup!$T$19,'[2]Country populations'!D192,'[2]Country populations'!O192)</f>
        <v>266980</v>
      </c>
      <c r="E191" s="40">
        <f>IF([2]Setup!$B$19=[2]Setup!$T$19,'[2]Country populations'!E192,'[2]Country populations'!P192)</f>
        <v>270408</v>
      </c>
      <c r="F191" s="40">
        <f>IF([2]Setup!$B$19=[2]Setup!$T$19,'[2]Country populations'!F192,'[2]Country populations'!Q192)</f>
        <v>272636</v>
      </c>
      <c r="G191" s="40">
        <f>IF([2]Setup!$B$19=[2]Setup!$T$19,'[2]Country populations'!G192,'[2]Country populations'!R192)</f>
        <v>273308</v>
      </c>
      <c r="H191" s="40">
        <f>IF([2]Setup!$B$19=[2]Setup!$T$19,'[2]Country populations'!H192,'[2]Country populations'!S192)</f>
        <v>273262</v>
      </c>
      <c r="I191" s="40">
        <f>IF([2]Setup!$B$19=[2]Setup!$T$19,'[2]Country populations'!I192,'[2]Country populations'!T192)</f>
        <v>272699</v>
      </c>
      <c r="J191" s="40">
        <f>IF([2]Setup!$B$19=[2]Setup!$T$19,'[2]Country populations'!J192,'[2]Country populations'!U192)</f>
        <v>271612</v>
      </c>
      <c r="K191" s="40">
        <f>IF([2]Setup!$B$19=[2]Setup!$T$19,'[2]Country populations'!K192,'[2]Country populations'!V192)</f>
        <v>270240</v>
      </c>
      <c r="L191" s="40">
        <f>IF([2]Setup!$B$19=[2]Setup!$T$19,'[2]Country populations'!L192,'[2]Country populations'!W192)</f>
        <v>268661</v>
      </c>
      <c r="M191" s="40" t="str">
        <f t="shared" si="6"/>
        <v>Ukraine</v>
      </c>
      <c r="N191" s="40">
        <f>IF([2]Setup!$B$20=[2]Setup!$U$19,'[2]Country populations'!X192,'[2]Country populations'!AI192)</f>
        <v>4282</v>
      </c>
      <c r="O191" s="40">
        <f>IF([2]Setup!$B$20=[2]Setup!$U$19,'[2]Country populations'!Y192,'[2]Country populations'!AJ192)</f>
        <v>4260</v>
      </c>
      <c r="P191" s="40">
        <f>IF([2]Setup!$B$20=[2]Setup!$U$19,'[2]Country populations'!Z192,'[2]Country populations'!AK192)</f>
        <v>4205</v>
      </c>
      <c r="Q191" s="40">
        <f>IF([2]Setup!$B$20=[2]Setup!$U$19,'[2]Country populations'!AA192,'[2]Country populations'!AL192)</f>
        <v>4087</v>
      </c>
      <c r="R191" s="40">
        <f>IF([2]Setup!$B$20=[2]Setup!$U$19,'[2]Country populations'!AB192,'[2]Country populations'!AM192)</f>
        <v>3914</v>
      </c>
      <c r="S191" s="40">
        <f>IF([2]Setup!$B$20=[2]Setup!$U$19,'[2]Country populations'!AC192,'[2]Country populations'!AN192)</f>
        <v>3703</v>
      </c>
      <c r="T191" s="40">
        <f>IF([2]Setup!$B$20=[2]Setup!$U$19,'[2]Country populations'!AD192,'[2]Country populations'!AO192)</f>
        <v>3466</v>
      </c>
      <c r="U191" s="40">
        <f>IF([2]Setup!$B$20=[2]Setup!$U$19,'[2]Country populations'!AE192,'[2]Country populations'!AP192)</f>
        <v>3291</v>
      </c>
      <c r="V191" s="40">
        <f>IF([2]Setup!$B$20=[2]Setup!$U$19,'[2]Country populations'!AF192,'[2]Country populations'!AQ192)</f>
        <v>3242</v>
      </c>
      <c r="W191" s="40">
        <f>IF([2]Setup!$B$20=[2]Setup!$U$19,'[2]Country populations'!AG192,'[2]Country populations'!AR192)</f>
        <v>3142</v>
      </c>
      <c r="X191" s="40">
        <f>IF([2]Setup!$B$20=[2]Setup!$U$19,'[2]Country populations'!AH192,'[2]Country populations'!AS192)</f>
        <v>2954</v>
      </c>
      <c r="Y191" s="40" t="str">
        <f t="shared" si="7"/>
        <v>Ukraine</v>
      </c>
      <c r="Z191" s="40">
        <f>IF([2]Setup!$B$21=[2]Setup!$V$19,'[2]Country populations'!AT192,'[2]Country populations'!BE192)</f>
        <v>2782</v>
      </c>
      <c r="AA191" s="40">
        <f>IF([2]Setup!$B$21=[2]Setup!$V$19,'[2]Country populations'!AU192,'[2]Country populations'!BF192)</f>
        <v>2783</v>
      </c>
      <c r="AB191" s="40">
        <f>IF([2]Setup!$B$21=[2]Setup!$V$19,'[2]Country populations'!AV192,'[2]Country populations'!BG192)</f>
        <v>2780</v>
      </c>
      <c r="AC191" s="40">
        <f>IF([2]Setup!$B$21=[2]Setup!$V$19,'[2]Country populations'!AW192,'[2]Country populations'!BH192)</f>
        <v>2765</v>
      </c>
      <c r="AD191" s="40">
        <f>IF([2]Setup!$B$21=[2]Setup!$V$19,'[2]Country populations'!AX192,'[2]Country populations'!BI192)</f>
        <v>2696</v>
      </c>
      <c r="AE191" s="40">
        <f>IF([2]Setup!$B$21=[2]Setup!$V$19,'[2]Country populations'!AY192,'[2]Country populations'!BJ192)</f>
        <v>2571</v>
      </c>
      <c r="AF191" s="40">
        <f>IF([2]Setup!$B$21=[2]Setup!$V$19,'[2]Country populations'!AZ192,'[2]Country populations'!BK192)</f>
        <v>2449</v>
      </c>
      <c r="AG191" s="40">
        <f>IF([2]Setup!$B$21=[2]Setup!$V$19,'[2]Country populations'!BA192,'[2]Country populations'!BL192)</f>
        <v>2334</v>
      </c>
      <c r="AH191" s="40">
        <f>IF([2]Setup!$B$21=[2]Setup!$V$19,'[2]Country populations'!BB192,'[2]Country populations'!BM192)</f>
        <v>2219</v>
      </c>
      <c r="AI191" s="40">
        <f>IF([2]Setup!$B$21=[2]Setup!$V$19,'[2]Country populations'!BC192,'[2]Country populations'!BN192)</f>
        <v>2116</v>
      </c>
      <c r="AJ191" s="40">
        <f>IF([2]Setup!$B$21=[2]Setup!$V$19,'[2]Country populations'!BD192,'[2]Country populations'!BO192)</f>
        <v>2021</v>
      </c>
    </row>
    <row r="192" spans="1:36" x14ac:dyDescent="0.25">
      <c r="A192" t="str">
        <f>'[2]Country populations'!A193</f>
        <v>United Arab Emirates</v>
      </c>
      <c r="B192" s="40">
        <f>IF([2]Setup!$B$19=[2]Setup!$T$19,'[2]Country populations'!B193,'[2]Country populations'!M193)</f>
        <v>0</v>
      </c>
      <c r="C192" s="40">
        <f>IF([2]Setup!$B$19=[2]Setup!$T$19,'[2]Country populations'!C193,'[2]Country populations'!N193)</f>
        <v>0</v>
      </c>
      <c r="D192" s="40">
        <f>IF([2]Setup!$B$19=[2]Setup!$T$19,'[2]Country populations'!D193,'[2]Country populations'!O193)</f>
        <v>0</v>
      </c>
      <c r="E192" s="40">
        <f>IF([2]Setup!$B$19=[2]Setup!$T$19,'[2]Country populations'!E193,'[2]Country populations'!P193)</f>
        <v>0</v>
      </c>
      <c r="F192" s="40">
        <f>IF([2]Setup!$B$19=[2]Setup!$T$19,'[2]Country populations'!F193,'[2]Country populations'!Q193)</f>
        <v>0</v>
      </c>
      <c r="G192" s="40">
        <f>IF([2]Setup!$B$19=[2]Setup!$T$19,'[2]Country populations'!G193,'[2]Country populations'!R193)</f>
        <v>0</v>
      </c>
      <c r="H192" s="40">
        <f>IF([2]Setup!$B$19=[2]Setup!$T$19,'[2]Country populations'!H193,'[2]Country populations'!S193)</f>
        <v>0</v>
      </c>
      <c r="I192" s="40">
        <f>IF([2]Setup!$B$19=[2]Setup!$T$19,'[2]Country populations'!I193,'[2]Country populations'!T193)</f>
        <v>0</v>
      </c>
      <c r="J192" s="40">
        <f>IF([2]Setup!$B$19=[2]Setup!$T$19,'[2]Country populations'!J193,'[2]Country populations'!U193)</f>
        <v>0</v>
      </c>
      <c r="K192" s="40">
        <f>IF([2]Setup!$B$19=[2]Setup!$T$19,'[2]Country populations'!K193,'[2]Country populations'!V193)</f>
        <v>0</v>
      </c>
      <c r="L192" s="40">
        <f>IF([2]Setup!$B$19=[2]Setup!$T$19,'[2]Country populations'!L193,'[2]Country populations'!W193)</f>
        <v>0</v>
      </c>
      <c r="M192" s="40" t="str">
        <f t="shared" si="6"/>
        <v>United Arab Emirates</v>
      </c>
      <c r="N192" s="40">
        <f>IF([2]Setup!$B$20=[2]Setup!$U$19,'[2]Country populations'!X193,'[2]Country populations'!AI193)</f>
        <v>0</v>
      </c>
      <c r="O192" s="40">
        <f>IF([2]Setup!$B$20=[2]Setup!$U$19,'[2]Country populations'!Y193,'[2]Country populations'!AJ193)</f>
        <v>0</v>
      </c>
      <c r="P192" s="40">
        <f>IF([2]Setup!$B$20=[2]Setup!$U$19,'[2]Country populations'!Z193,'[2]Country populations'!AK193)</f>
        <v>0</v>
      </c>
      <c r="Q192" s="40">
        <f>IF([2]Setup!$B$20=[2]Setup!$U$19,'[2]Country populations'!AA193,'[2]Country populations'!AL193)</f>
        <v>0</v>
      </c>
      <c r="R192" s="40">
        <f>IF([2]Setup!$B$20=[2]Setup!$U$19,'[2]Country populations'!AB193,'[2]Country populations'!AM193)</f>
        <v>0</v>
      </c>
      <c r="S192" s="40">
        <f>IF([2]Setup!$B$20=[2]Setup!$U$19,'[2]Country populations'!AC193,'[2]Country populations'!AN193)</f>
        <v>0</v>
      </c>
      <c r="T192" s="40">
        <f>IF([2]Setup!$B$20=[2]Setup!$U$19,'[2]Country populations'!AD193,'[2]Country populations'!AO193)</f>
        <v>0</v>
      </c>
      <c r="U192" s="40">
        <f>IF([2]Setup!$B$20=[2]Setup!$U$19,'[2]Country populations'!AE193,'[2]Country populations'!AP193)</f>
        <v>0</v>
      </c>
      <c r="V192" s="40">
        <f>IF([2]Setup!$B$20=[2]Setup!$U$19,'[2]Country populations'!AF193,'[2]Country populations'!AQ193)</f>
        <v>0</v>
      </c>
      <c r="W192" s="40">
        <f>IF([2]Setup!$B$20=[2]Setup!$U$19,'[2]Country populations'!AG193,'[2]Country populations'!AR193)</f>
        <v>0</v>
      </c>
      <c r="X192" s="40">
        <f>IF([2]Setup!$B$20=[2]Setup!$U$19,'[2]Country populations'!AH193,'[2]Country populations'!AS193)</f>
        <v>0</v>
      </c>
      <c r="Y192" s="40" t="str">
        <f t="shared" si="7"/>
        <v>United Arab Emirates</v>
      </c>
      <c r="Z192" s="40">
        <f>IF([2]Setup!$B$21=[2]Setup!$V$19,'[2]Country populations'!AT193,'[2]Country populations'!BE193)</f>
        <v>0</v>
      </c>
      <c r="AA192" s="40">
        <f>IF([2]Setup!$B$21=[2]Setup!$V$19,'[2]Country populations'!AU193,'[2]Country populations'!BF193)</f>
        <v>0</v>
      </c>
      <c r="AB192" s="40">
        <f>IF([2]Setup!$B$21=[2]Setup!$V$19,'[2]Country populations'!AV193,'[2]Country populations'!BG193)</f>
        <v>0</v>
      </c>
      <c r="AC192" s="40">
        <f>IF([2]Setup!$B$21=[2]Setup!$V$19,'[2]Country populations'!AW193,'[2]Country populations'!BH193)</f>
        <v>0</v>
      </c>
      <c r="AD192" s="40">
        <f>IF([2]Setup!$B$21=[2]Setup!$V$19,'[2]Country populations'!AX193,'[2]Country populations'!BI193)</f>
        <v>0</v>
      </c>
      <c r="AE192" s="40">
        <f>IF([2]Setup!$B$21=[2]Setup!$V$19,'[2]Country populations'!AY193,'[2]Country populations'!BJ193)</f>
        <v>0</v>
      </c>
      <c r="AF192" s="40">
        <f>IF([2]Setup!$B$21=[2]Setup!$V$19,'[2]Country populations'!AZ193,'[2]Country populations'!BK193)</f>
        <v>0</v>
      </c>
      <c r="AG192" s="40">
        <f>IF([2]Setup!$B$21=[2]Setup!$V$19,'[2]Country populations'!BA193,'[2]Country populations'!BL193)</f>
        <v>0</v>
      </c>
      <c r="AH192" s="40">
        <f>IF([2]Setup!$B$21=[2]Setup!$V$19,'[2]Country populations'!BB193,'[2]Country populations'!BM193)</f>
        <v>0</v>
      </c>
      <c r="AI192" s="40">
        <f>IF([2]Setup!$B$21=[2]Setup!$V$19,'[2]Country populations'!BC193,'[2]Country populations'!BN193)</f>
        <v>0</v>
      </c>
      <c r="AJ192" s="40">
        <f>IF([2]Setup!$B$21=[2]Setup!$V$19,'[2]Country populations'!BD193,'[2]Country populations'!BO193)</f>
        <v>0</v>
      </c>
    </row>
    <row r="193" spans="1:36" x14ac:dyDescent="0.25">
      <c r="A193" t="str">
        <f>'[2]Country populations'!A194</f>
        <v>United Kingdom</v>
      </c>
      <c r="B193" s="40">
        <f>IF([2]Setup!$B$19=[2]Setup!$T$19,'[2]Country populations'!B194,'[2]Country populations'!M194)</f>
        <v>136571</v>
      </c>
      <c r="C193" s="40">
        <f>IF([2]Setup!$B$19=[2]Setup!$T$19,'[2]Country populations'!C194,'[2]Country populations'!N194)</f>
        <v>143045</v>
      </c>
      <c r="D193" s="40">
        <f>IF([2]Setup!$B$19=[2]Setup!$T$19,'[2]Country populations'!D194,'[2]Country populations'!O194)</f>
        <v>149439</v>
      </c>
      <c r="E193" s="40">
        <f>IF([2]Setup!$B$19=[2]Setup!$T$19,'[2]Country populations'!E194,'[2]Country populations'!P194)</f>
        <v>155743</v>
      </c>
      <c r="F193" s="40">
        <f>IF([2]Setup!$B$19=[2]Setup!$T$19,'[2]Country populations'!F194,'[2]Country populations'!Q194)</f>
        <v>161952</v>
      </c>
      <c r="G193" s="40">
        <f>IF([2]Setup!$B$19=[2]Setup!$T$19,'[2]Country populations'!G194,'[2]Country populations'!R194)</f>
        <v>168061</v>
      </c>
      <c r="H193" s="40">
        <f>IF([2]Setup!$B$19=[2]Setup!$T$19,'[2]Country populations'!H194,'[2]Country populations'!S194)</f>
        <v>174060</v>
      </c>
      <c r="I193" s="40">
        <f>IF([2]Setup!$B$19=[2]Setup!$T$19,'[2]Country populations'!I194,'[2]Country populations'!T194)</f>
        <v>179989</v>
      </c>
      <c r="J193" s="40">
        <f>IF([2]Setup!$B$19=[2]Setup!$T$19,'[2]Country populations'!J194,'[2]Country populations'!U194)</f>
        <v>185850</v>
      </c>
      <c r="K193" s="40">
        <f>IF([2]Setup!$B$19=[2]Setup!$T$19,'[2]Country populations'!K194,'[2]Country populations'!V194)</f>
        <v>191643</v>
      </c>
      <c r="L193" s="40">
        <f>IF([2]Setup!$B$19=[2]Setup!$T$19,'[2]Country populations'!L194,'[2]Country populations'!W194)</f>
        <v>197365</v>
      </c>
      <c r="M193" s="40" t="str">
        <f t="shared" si="6"/>
        <v>United Kingdom</v>
      </c>
      <c r="N193" s="40">
        <f>IF([2]Setup!$B$20=[2]Setup!$U$19,'[2]Country populations'!X194,'[2]Country populations'!AI194)</f>
        <v>437</v>
      </c>
      <c r="O193" s="40">
        <f>IF([2]Setup!$B$20=[2]Setup!$U$19,'[2]Country populations'!Y194,'[2]Country populations'!AJ194)</f>
        <v>536</v>
      </c>
      <c r="P193" s="40">
        <f>IF([2]Setup!$B$20=[2]Setup!$U$19,'[2]Country populations'!Z194,'[2]Country populations'!AK194)</f>
        <v>634</v>
      </c>
      <c r="Q193" s="40">
        <f>IF([2]Setup!$B$20=[2]Setup!$U$19,'[2]Country populations'!AA194,'[2]Country populations'!AL194)</f>
        <v>732</v>
      </c>
      <c r="R193" s="40">
        <f>IF([2]Setup!$B$20=[2]Setup!$U$19,'[2]Country populations'!AB194,'[2]Country populations'!AM194)</f>
        <v>828</v>
      </c>
      <c r="S193" s="40">
        <f>IF([2]Setup!$B$20=[2]Setup!$U$19,'[2]Country populations'!AC194,'[2]Country populations'!AN194)</f>
        <v>928</v>
      </c>
      <c r="T193" s="40">
        <f>IF([2]Setup!$B$20=[2]Setup!$U$19,'[2]Country populations'!AD194,'[2]Country populations'!AO194)</f>
        <v>1038</v>
      </c>
      <c r="U193" s="40">
        <f>IF([2]Setup!$B$20=[2]Setup!$U$19,'[2]Country populations'!AE194,'[2]Country populations'!AP194)</f>
        <v>1156</v>
      </c>
      <c r="V193" s="40">
        <f>IF([2]Setup!$B$20=[2]Setup!$U$19,'[2]Country populations'!AF194,'[2]Country populations'!AQ194)</f>
        <v>1280</v>
      </c>
      <c r="W193" s="40">
        <f>IF([2]Setup!$B$20=[2]Setup!$U$19,'[2]Country populations'!AG194,'[2]Country populations'!AR194)</f>
        <v>1403</v>
      </c>
      <c r="X193" s="40">
        <f>IF([2]Setup!$B$20=[2]Setup!$U$19,'[2]Country populations'!AH194,'[2]Country populations'!AS194)</f>
        <v>1523</v>
      </c>
      <c r="Y193" s="40" t="str">
        <f t="shared" si="7"/>
        <v>United Kingdom</v>
      </c>
      <c r="Z193" s="40">
        <f>IF([2]Setup!$B$21=[2]Setup!$V$19,'[2]Country populations'!AT194,'[2]Country populations'!BE194)</f>
        <v>1204</v>
      </c>
      <c r="AA193" s="40">
        <f>IF([2]Setup!$B$21=[2]Setup!$V$19,'[2]Country populations'!AU194,'[2]Country populations'!BF194)</f>
        <v>1240</v>
      </c>
      <c r="AB193" s="40">
        <f>IF([2]Setup!$B$21=[2]Setup!$V$19,'[2]Country populations'!AV194,'[2]Country populations'!BG194)</f>
        <v>1274</v>
      </c>
      <c r="AC193" s="40">
        <f>IF([2]Setup!$B$21=[2]Setup!$V$19,'[2]Country populations'!AW194,'[2]Country populations'!BH194)</f>
        <v>1304</v>
      </c>
      <c r="AD193" s="40">
        <f>IF([2]Setup!$B$21=[2]Setup!$V$19,'[2]Country populations'!AX194,'[2]Country populations'!BI194)</f>
        <v>1329</v>
      </c>
      <c r="AE193" s="40">
        <f>IF([2]Setup!$B$21=[2]Setup!$V$19,'[2]Country populations'!AY194,'[2]Country populations'!BJ194)</f>
        <v>1350</v>
      </c>
      <c r="AF193" s="40">
        <f>IF([2]Setup!$B$21=[2]Setup!$V$19,'[2]Country populations'!AZ194,'[2]Country populations'!BK194)</f>
        <v>1366</v>
      </c>
      <c r="AG193" s="40">
        <f>IF([2]Setup!$B$21=[2]Setup!$V$19,'[2]Country populations'!BA194,'[2]Country populations'!BL194)</f>
        <v>1378</v>
      </c>
      <c r="AH193" s="40">
        <f>IF([2]Setup!$B$21=[2]Setup!$V$19,'[2]Country populations'!BB194,'[2]Country populations'!BM194)</f>
        <v>1387</v>
      </c>
      <c r="AI193" s="40">
        <f>IF([2]Setup!$B$21=[2]Setup!$V$19,'[2]Country populations'!BC194,'[2]Country populations'!BN194)</f>
        <v>1393</v>
      </c>
      <c r="AJ193" s="40">
        <f>IF([2]Setup!$B$21=[2]Setup!$V$19,'[2]Country populations'!BD194,'[2]Country populations'!BO194)</f>
        <v>1397</v>
      </c>
    </row>
    <row r="194" spans="1:36" x14ac:dyDescent="0.25">
      <c r="A194" t="str">
        <f>'[2]Country populations'!A195</f>
        <v>United Republic of Tanzania</v>
      </c>
      <c r="B194" s="40">
        <f>IF([2]Setup!$B$19=[2]Setup!$T$19,'[2]Country populations'!B195,'[2]Country populations'!M195)</f>
        <v>1416512</v>
      </c>
      <c r="C194" s="40">
        <f>IF([2]Setup!$B$19=[2]Setup!$T$19,'[2]Country populations'!C195,'[2]Country populations'!N195)</f>
        <v>1439053</v>
      </c>
      <c r="D194" s="40">
        <f>IF([2]Setup!$B$19=[2]Setup!$T$19,'[2]Country populations'!D195,'[2]Country populations'!O195)</f>
        <v>1460390</v>
      </c>
      <c r="E194" s="40">
        <f>IF([2]Setup!$B$19=[2]Setup!$T$19,'[2]Country populations'!E195,'[2]Country populations'!P195)</f>
        <v>1478883</v>
      </c>
      <c r="F194" s="40">
        <f>IF([2]Setup!$B$19=[2]Setup!$T$19,'[2]Country populations'!F195,'[2]Country populations'!Q195)</f>
        <v>1494227</v>
      </c>
      <c r="G194" s="40">
        <f>IF([2]Setup!$B$19=[2]Setup!$T$19,'[2]Country populations'!G195,'[2]Country populations'!R195)</f>
        <v>1506722</v>
      </c>
      <c r="H194" s="40">
        <f>IF([2]Setup!$B$19=[2]Setup!$T$19,'[2]Country populations'!H195,'[2]Country populations'!S195)</f>
        <v>1519680</v>
      </c>
      <c r="I194" s="40">
        <f>IF([2]Setup!$B$19=[2]Setup!$T$19,'[2]Country populations'!I195,'[2]Country populations'!T195)</f>
        <v>1532955</v>
      </c>
      <c r="J194" s="40">
        <f>IF([2]Setup!$B$19=[2]Setup!$T$19,'[2]Country populations'!J195,'[2]Country populations'!U195)</f>
        <v>1546934</v>
      </c>
      <c r="K194" s="40">
        <f>IF([2]Setup!$B$19=[2]Setup!$T$19,'[2]Country populations'!K195,'[2]Country populations'!V195)</f>
        <v>1561794</v>
      </c>
      <c r="L194" s="40">
        <f>IF([2]Setup!$B$19=[2]Setup!$T$19,'[2]Country populations'!L195,'[2]Country populations'!W195)</f>
        <v>1577063</v>
      </c>
      <c r="M194" s="40" t="str">
        <f t="shared" si="6"/>
        <v>United Republic of Tanzania</v>
      </c>
      <c r="N194" s="40">
        <f>IF([2]Setup!$B$20=[2]Setup!$U$19,'[2]Country populations'!X195,'[2]Country populations'!AI195)</f>
        <v>230066</v>
      </c>
      <c r="O194" s="40">
        <f>IF([2]Setup!$B$20=[2]Setup!$U$19,'[2]Country populations'!Y195,'[2]Country populations'!AJ195)</f>
        <v>215181</v>
      </c>
      <c r="P194" s="40">
        <f>IF([2]Setup!$B$20=[2]Setup!$U$19,'[2]Country populations'!Z195,'[2]Country populations'!AK195)</f>
        <v>201446</v>
      </c>
      <c r="Q194" s="40">
        <f>IF([2]Setup!$B$20=[2]Setup!$U$19,'[2]Country populations'!AA195,'[2]Country populations'!AL195)</f>
        <v>188363</v>
      </c>
      <c r="R194" s="40">
        <f>IF([2]Setup!$B$20=[2]Setup!$U$19,'[2]Country populations'!AB195,'[2]Country populations'!AM195)</f>
        <v>174790</v>
      </c>
      <c r="S194" s="40">
        <f>IF([2]Setup!$B$20=[2]Setup!$U$19,'[2]Country populations'!AC195,'[2]Country populations'!AN195)</f>
        <v>160967</v>
      </c>
      <c r="T194" s="40">
        <f>IF([2]Setup!$B$20=[2]Setup!$U$19,'[2]Country populations'!AD195,'[2]Country populations'!AO195)</f>
        <v>145898</v>
      </c>
      <c r="U194" s="40">
        <f>IF([2]Setup!$B$20=[2]Setup!$U$19,'[2]Country populations'!AE195,'[2]Country populations'!AP195)</f>
        <v>130410</v>
      </c>
      <c r="V194" s="40">
        <f>IF([2]Setup!$B$20=[2]Setup!$U$19,'[2]Country populations'!AF195,'[2]Country populations'!AQ195)</f>
        <v>115609</v>
      </c>
      <c r="W194" s="40">
        <f>IF([2]Setup!$B$20=[2]Setup!$U$19,'[2]Country populations'!AG195,'[2]Country populations'!AR195)</f>
        <v>101214</v>
      </c>
      <c r="X194" s="40">
        <f>IF([2]Setup!$B$20=[2]Setup!$U$19,'[2]Country populations'!AH195,'[2]Country populations'!AS195)</f>
        <v>87513</v>
      </c>
      <c r="Y194" s="40" t="str">
        <f t="shared" si="7"/>
        <v>United Republic of Tanzania</v>
      </c>
      <c r="Z194" s="40">
        <f>IF([2]Setup!$B$21=[2]Setup!$V$19,'[2]Country populations'!AT195,'[2]Country populations'!BE195)</f>
        <v>108505</v>
      </c>
      <c r="AA194" s="40">
        <f>IF([2]Setup!$B$21=[2]Setup!$V$19,'[2]Country populations'!AU195,'[2]Country populations'!BF195)</f>
        <v>104903</v>
      </c>
      <c r="AB194" s="40">
        <f>IF([2]Setup!$B$21=[2]Setup!$V$19,'[2]Country populations'!AV195,'[2]Country populations'!BG195)</f>
        <v>101032</v>
      </c>
      <c r="AC194" s="40">
        <f>IF([2]Setup!$B$21=[2]Setup!$V$19,'[2]Country populations'!AW195,'[2]Country populations'!BH195)</f>
        <v>96893</v>
      </c>
      <c r="AD194" s="40">
        <f>IF([2]Setup!$B$21=[2]Setup!$V$19,'[2]Country populations'!AX195,'[2]Country populations'!BI195)</f>
        <v>92504</v>
      </c>
      <c r="AE194" s="40">
        <f>IF([2]Setup!$B$21=[2]Setup!$V$19,'[2]Country populations'!AY195,'[2]Country populations'!BJ195)</f>
        <v>87980</v>
      </c>
      <c r="AF194" s="40">
        <f>IF([2]Setup!$B$21=[2]Setup!$V$19,'[2]Country populations'!AZ195,'[2]Country populations'!BK195)</f>
        <v>83560</v>
      </c>
      <c r="AG194" s="40">
        <f>IF([2]Setup!$B$21=[2]Setup!$V$19,'[2]Country populations'!BA195,'[2]Country populations'!BL195)</f>
        <v>79405</v>
      </c>
      <c r="AH194" s="40">
        <f>IF([2]Setup!$B$21=[2]Setup!$V$19,'[2]Country populations'!BB195,'[2]Country populations'!BM195)</f>
        <v>75548</v>
      </c>
      <c r="AI194" s="40">
        <f>IF([2]Setup!$B$21=[2]Setup!$V$19,'[2]Country populations'!BC195,'[2]Country populations'!BN195)</f>
        <v>72028</v>
      </c>
      <c r="AJ194" s="40">
        <f>IF([2]Setup!$B$21=[2]Setup!$V$19,'[2]Country populations'!BD195,'[2]Country populations'!BO195)</f>
        <v>68852</v>
      </c>
    </row>
    <row r="195" spans="1:36" x14ac:dyDescent="0.25">
      <c r="A195" t="str">
        <f>'[2]Country populations'!A196</f>
        <v>United States of America</v>
      </c>
      <c r="B195" s="40">
        <f>IF([2]Setup!$B$19=[2]Setup!$T$19,'[2]Country populations'!B196,'[2]Country populations'!M196)</f>
        <v>1344264</v>
      </c>
      <c r="C195" s="40">
        <f>IF([2]Setup!$B$19=[2]Setup!$T$19,'[2]Country populations'!C196,'[2]Country populations'!N196)</f>
        <v>1379097</v>
      </c>
      <c r="D195" s="40">
        <f>IF([2]Setup!$B$19=[2]Setup!$T$19,'[2]Country populations'!D196,'[2]Country populations'!O196)</f>
        <v>1413176</v>
      </c>
      <c r="E195" s="40">
        <f>IF([2]Setup!$B$19=[2]Setup!$T$19,'[2]Country populations'!E196,'[2]Country populations'!P196)</f>
        <v>1445746</v>
      </c>
      <c r="F195" s="40">
        <f>IF([2]Setup!$B$19=[2]Setup!$T$19,'[2]Country populations'!F196,'[2]Country populations'!Q196)</f>
        <v>1477818</v>
      </c>
      <c r="G195" s="40">
        <f>IF([2]Setup!$B$19=[2]Setup!$T$19,'[2]Country populations'!G196,'[2]Country populations'!R196)</f>
        <v>1509362</v>
      </c>
      <c r="H195" s="40">
        <f>IF([2]Setup!$B$19=[2]Setup!$T$19,'[2]Country populations'!H196,'[2]Country populations'!S196)</f>
        <v>1540402</v>
      </c>
      <c r="I195" s="40">
        <f>IF([2]Setup!$B$19=[2]Setup!$T$19,'[2]Country populations'!I196,'[2]Country populations'!T196)</f>
        <v>1570915</v>
      </c>
      <c r="J195" s="40">
        <f>IF([2]Setup!$B$19=[2]Setup!$T$19,'[2]Country populations'!J196,'[2]Country populations'!U196)</f>
        <v>1600861</v>
      </c>
      <c r="K195" s="40">
        <f>IF([2]Setup!$B$19=[2]Setup!$T$19,'[2]Country populations'!K196,'[2]Country populations'!V196)</f>
        <v>1630390</v>
      </c>
      <c r="L195" s="40">
        <f>IF([2]Setup!$B$19=[2]Setup!$T$19,'[2]Country populations'!L196,'[2]Country populations'!W196)</f>
        <v>1659442</v>
      </c>
      <c r="M195" s="40" t="str">
        <f t="shared" si="6"/>
        <v>United States of America</v>
      </c>
      <c r="N195" s="40">
        <f>IF([2]Setup!$B$20=[2]Setup!$U$19,'[2]Country populations'!X196,'[2]Country populations'!AI196)</f>
        <v>18270</v>
      </c>
      <c r="O195" s="40">
        <f>IF([2]Setup!$B$20=[2]Setup!$U$19,'[2]Country populations'!Y196,'[2]Country populations'!AJ196)</f>
        <v>21339</v>
      </c>
      <c r="P195" s="40">
        <f>IF([2]Setup!$B$20=[2]Setup!$U$19,'[2]Country populations'!Z196,'[2]Country populations'!AK196)</f>
        <v>24127</v>
      </c>
      <c r="Q195" s="40">
        <f>IF([2]Setup!$B$20=[2]Setup!$U$19,'[2]Country populations'!AA196,'[2]Country populations'!AL196)</f>
        <v>26852</v>
      </c>
      <c r="R195" s="40">
        <f>IF([2]Setup!$B$20=[2]Setup!$U$19,'[2]Country populations'!AB196,'[2]Country populations'!AM196)</f>
        <v>29448</v>
      </c>
      <c r="S195" s="40">
        <f>IF([2]Setup!$B$20=[2]Setup!$U$19,'[2]Country populations'!AC196,'[2]Country populations'!AN196)</f>
        <v>32004</v>
      </c>
      <c r="T195" s="40">
        <f>IF([2]Setup!$B$20=[2]Setup!$U$19,'[2]Country populations'!AD196,'[2]Country populations'!AO196)</f>
        <v>34531</v>
      </c>
      <c r="U195" s="40">
        <f>IF([2]Setup!$B$20=[2]Setup!$U$19,'[2]Country populations'!AE196,'[2]Country populations'!AP196)</f>
        <v>36987</v>
      </c>
      <c r="V195" s="40">
        <f>IF([2]Setup!$B$20=[2]Setup!$U$19,'[2]Country populations'!AF196,'[2]Country populations'!AQ196)</f>
        <v>39420</v>
      </c>
      <c r="W195" s="40">
        <f>IF([2]Setup!$B$20=[2]Setup!$U$19,'[2]Country populations'!AG196,'[2]Country populations'!AR196)</f>
        <v>41727</v>
      </c>
      <c r="X195" s="40">
        <f>IF([2]Setup!$B$20=[2]Setup!$U$19,'[2]Country populations'!AH196,'[2]Country populations'!AS196)</f>
        <v>43913</v>
      </c>
      <c r="Y195" s="40" t="str">
        <f t="shared" si="7"/>
        <v>United States of America</v>
      </c>
      <c r="Z195" s="40">
        <f>IF([2]Setup!$B$21=[2]Setup!$V$19,'[2]Country populations'!AT196,'[2]Country populations'!BE196)</f>
        <v>7201</v>
      </c>
      <c r="AA195" s="40">
        <f>IF([2]Setup!$B$21=[2]Setup!$V$19,'[2]Country populations'!AU196,'[2]Country populations'!BF196)</f>
        <v>7251</v>
      </c>
      <c r="AB195" s="40">
        <f>IF([2]Setup!$B$21=[2]Setup!$V$19,'[2]Country populations'!AV196,'[2]Country populations'!BG196)</f>
        <v>7286</v>
      </c>
      <c r="AC195" s="40">
        <f>IF([2]Setup!$B$21=[2]Setup!$V$19,'[2]Country populations'!AW196,'[2]Country populations'!BH196)</f>
        <v>7435</v>
      </c>
      <c r="AD195" s="40">
        <f>IF([2]Setup!$B$21=[2]Setup!$V$19,'[2]Country populations'!AX196,'[2]Country populations'!BI196)</f>
        <v>7577</v>
      </c>
      <c r="AE195" s="40">
        <f>IF([2]Setup!$B$21=[2]Setup!$V$19,'[2]Country populations'!AY196,'[2]Country populations'!BJ196)</f>
        <v>7716</v>
      </c>
      <c r="AF195" s="40">
        <f>IF([2]Setup!$B$21=[2]Setup!$V$19,'[2]Country populations'!AZ196,'[2]Country populations'!BK196)</f>
        <v>7713</v>
      </c>
      <c r="AG195" s="40">
        <f>IF([2]Setup!$B$21=[2]Setup!$V$19,'[2]Country populations'!BA196,'[2]Country populations'!BL196)</f>
        <v>7698</v>
      </c>
      <c r="AH195" s="40">
        <f>IF([2]Setup!$B$21=[2]Setup!$V$19,'[2]Country populations'!BB196,'[2]Country populations'!BM196)</f>
        <v>7853</v>
      </c>
      <c r="AI195" s="40">
        <f>IF([2]Setup!$B$21=[2]Setup!$V$19,'[2]Country populations'!BC196,'[2]Country populations'!BN196)</f>
        <v>8083</v>
      </c>
      <c r="AJ195" s="40">
        <f>IF([2]Setup!$B$21=[2]Setup!$V$19,'[2]Country populations'!BD196,'[2]Country populations'!BO196)</f>
        <v>8228</v>
      </c>
    </row>
    <row r="196" spans="1:36" x14ac:dyDescent="0.25">
      <c r="A196" t="str">
        <f>'[2]Country populations'!A197</f>
        <v>United States Virgin Islands</v>
      </c>
      <c r="B196" s="40">
        <f>IF([2]Setup!$B$19=[2]Setup!$T$19,'[2]Country populations'!B197,'[2]Country populations'!M197)</f>
        <v>0</v>
      </c>
      <c r="C196" s="40">
        <f>IF([2]Setup!$B$19=[2]Setup!$T$19,'[2]Country populations'!C197,'[2]Country populations'!N197)</f>
        <v>0</v>
      </c>
      <c r="D196" s="40">
        <f>IF([2]Setup!$B$19=[2]Setup!$T$19,'[2]Country populations'!D197,'[2]Country populations'!O197)</f>
        <v>0</v>
      </c>
      <c r="E196" s="40">
        <f>IF([2]Setup!$B$19=[2]Setup!$T$19,'[2]Country populations'!E197,'[2]Country populations'!P197)</f>
        <v>0</v>
      </c>
      <c r="F196" s="40">
        <f>IF([2]Setup!$B$19=[2]Setup!$T$19,'[2]Country populations'!F197,'[2]Country populations'!Q197)</f>
        <v>0</v>
      </c>
      <c r="G196" s="40">
        <f>IF([2]Setup!$B$19=[2]Setup!$T$19,'[2]Country populations'!G197,'[2]Country populations'!R197)</f>
        <v>0</v>
      </c>
      <c r="H196" s="40">
        <f>IF([2]Setup!$B$19=[2]Setup!$T$19,'[2]Country populations'!H197,'[2]Country populations'!S197)</f>
        <v>0</v>
      </c>
      <c r="I196" s="40">
        <f>IF([2]Setup!$B$19=[2]Setup!$T$19,'[2]Country populations'!I197,'[2]Country populations'!T197)</f>
        <v>0</v>
      </c>
      <c r="J196" s="40">
        <f>IF([2]Setup!$B$19=[2]Setup!$T$19,'[2]Country populations'!J197,'[2]Country populations'!U197)</f>
        <v>0</v>
      </c>
      <c r="K196" s="40">
        <f>IF([2]Setup!$B$19=[2]Setup!$T$19,'[2]Country populations'!K197,'[2]Country populations'!V197)</f>
        <v>0</v>
      </c>
      <c r="L196" s="40">
        <f>IF([2]Setup!$B$19=[2]Setup!$T$19,'[2]Country populations'!L197,'[2]Country populations'!W197)</f>
        <v>0</v>
      </c>
      <c r="M196" s="40" t="str">
        <f t="shared" ref="M196:M204" si="8">A196</f>
        <v>United States Virgin Islands</v>
      </c>
      <c r="N196" s="40">
        <f>IF([2]Setup!$B$20=[2]Setup!$U$19,'[2]Country populations'!X197,'[2]Country populations'!AI197)</f>
        <v>0</v>
      </c>
      <c r="O196" s="40">
        <f>IF([2]Setup!$B$20=[2]Setup!$U$19,'[2]Country populations'!Y197,'[2]Country populations'!AJ197)</f>
        <v>0</v>
      </c>
      <c r="P196" s="40">
        <f>IF([2]Setup!$B$20=[2]Setup!$U$19,'[2]Country populations'!Z197,'[2]Country populations'!AK197)</f>
        <v>0</v>
      </c>
      <c r="Q196" s="40">
        <f>IF([2]Setup!$B$20=[2]Setup!$U$19,'[2]Country populations'!AA197,'[2]Country populations'!AL197)</f>
        <v>0</v>
      </c>
      <c r="R196" s="40">
        <f>IF([2]Setup!$B$20=[2]Setup!$U$19,'[2]Country populations'!AB197,'[2]Country populations'!AM197)</f>
        <v>0</v>
      </c>
      <c r="S196" s="40">
        <f>IF([2]Setup!$B$20=[2]Setup!$U$19,'[2]Country populations'!AC197,'[2]Country populations'!AN197)</f>
        <v>0</v>
      </c>
      <c r="T196" s="40">
        <f>IF([2]Setup!$B$20=[2]Setup!$U$19,'[2]Country populations'!AD197,'[2]Country populations'!AO197)</f>
        <v>0</v>
      </c>
      <c r="U196" s="40">
        <f>IF([2]Setup!$B$20=[2]Setup!$U$19,'[2]Country populations'!AE197,'[2]Country populations'!AP197)</f>
        <v>0</v>
      </c>
      <c r="V196" s="40">
        <f>IF([2]Setup!$B$20=[2]Setup!$U$19,'[2]Country populations'!AF197,'[2]Country populations'!AQ197)</f>
        <v>0</v>
      </c>
      <c r="W196" s="40">
        <f>IF([2]Setup!$B$20=[2]Setup!$U$19,'[2]Country populations'!AG197,'[2]Country populations'!AR197)</f>
        <v>0</v>
      </c>
      <c r="X196" s="40">
        <f>IF([2]Setup!$B$20=[2]Setup!$U$19,'[2]Country populations'!AH197,'[2]Country populations'!AS197)</f>
        <v>0</v>
      </c>
      <c r="Y196" s="40" t="str">
        <f t="shared" ref="Y196:Y204" si="9">M196</f>
        <v>United States Virgin Islands</v>
      </c>
      <c r="Z196" s="40">
        <f>IF([2]Setup!$B$21=[2]Setup!$V$19,'[2]Country populations'!AT197,'[2]Country populations'!BE197)</f>
        <v>0</v>
      </c>
      <c r="AA196" s="40">
        <f>IF([2]Setup!$B$21=[2]Setup!$V$19,'[2]Country populations'!AU197,'[2]Country populations'!BF197)</f>
        <v>0</v>
      </c>
      <c r="AB196" s="40">
        <f>IF([2]Setup!$B$21=[2]Setup!$V$19,'[2]Country populations'!AV197,'[2]Country populations'!BG197)</f>
        <v>0</v>
      </c>
      <c r="AC196" s="40">
        <f>IF([2]Setup!$B$21=[2]Setup!$V$19,'[2]Country populations'!AW197,'[2]Country populations'!BH197)</f>
        <v>0</v>
      </c>
      <c r="AD196" s="40">
        <f>IF([2]Setup!$B$21=[2]Setup!$V$19,'[2]Country populations'!AX197,'[2]Country populations'!BI197)</f>
        <v>0</v>
      </c>
      <c r="AE196" s="40">
        <f>IF([2]Setup!$B$21=[2]Setup!$V$19,'[2]Country populations'!AY197,'[2]Country populations'!BJ197)</f>
        <v>0</v>
      </c>
      <c r="AF196" s="40">
        <f>IF([2]Setup!$B$21=[2]Setup!$V$19,'[2]Country populations'!AZ197,'[2]Country populations'!BK197)</f>
        <v>0</v>
      </c>
      <c r="AG196" s="40">
        <f>IF([2]Setup!$B$21=[2]Setup!$V$19,'[2]Country populations'!BA197,'[2]Country populations'!BL197)</f>
        <v>0</v>
      </c>
      <c r="AH196" s="40">
        <f>IF([2]Setup!$B$21=[2]Setup!$V$19,'[2]Country populations'!BB197,'[2]Country populations'!BM197)</f>
        <v>0</v>
      </c>
      <c r="AI196" s="40">
        <f>IF([2]Setup!$B$21=[2]Setup!$V$19,'[2]Country populations'!BC197,'[2]Country populations'!BN197)</f>
        <v>0</v>
      </c>
      <c r="AJ196" s="40">
        <f>IF([2]Setup!$B$21=[2]Setup!$V$19,'[2]Country populations'!BD197,'[2]Country populations'!BO197)</f>
        <v>0</v>
      </c>
    </row>
    <row r="197" spans="1:36" x14ac:dyDescent="0.25">
      <c r="A197" t="str">
        <f>'[2]Country populations'!A198</f>
        <v>Uruguay</v>
      </c>
      <c r="B197" s="40">
        <f>IF([2]Setup!$B$19=[2]Setup!$T$19,'[2]Country populations'!B198,'[2]Country populations'!M198)</f>
        <v>16321</v>
      </c>
      <c r="C197" s="40">
        <f>IF([2]Setup!$B$19=[2]Setup!$T$19,'[2]Country populations'!C198,'[2]Country populations'!N198)</f>
        <v>16515</v>
      </c>
      <c r="D197" s="40">
        <f>IF([2]Setup!$B$19=[2]Setup!$T$19,'[2]Country populations'!D198,'[2]Country populations'!O198)</f>
        <v>16691</v>
      </c>
      <c r="E197" s="40">
        <f>IF([2]Setup!$B$19=[2]Setup!$T$19,'[2]Country populations'!E198,'[2]Country populations'!P198)</f>
        <v>16853</v>
      </c>
      <c r="F197" s="40">
        <f>IF([2]Setup!$B$19=[2]Setup!$T$19,'[2]Country populations'!F198,'[2]Country populations'!Q198)</f>
        <v>17015</v>
      </c>
      <c r="G197" s="40">
        <f>IF([2]Setup!$B$19=[2]Setup!$T$19,'[2]Country populations'!G198,'[2]Country populations'!R198)</f>
        <v>17181</v>
      </c>
      <c r="H197" s="40">
        <f>IF([2]Setup!$B$19=[2]Setup!$T$19,'[2]Country populations'!H198,'[2]Country populations'!S198)</f>
        <v>17341</v>
      </c>
      <c r="I197" s="40">
        <f>IF([2]Setup!$B$19=[2]Setup!$T$19,'[2]Country populations'!I198,'[2]Country populations'!T198)</f>
        <v>17487</v>
      </c>
      <c r="J197" s="40">
        <f>IF([2]Setup!$B$19=[2]Setup!$T$19,'[2]Country populations'!J198,'[2]Country populations'!U198)</f>
        <v>17621</v>
      </c>
      <c r="K197" s="40">
        <f>IF([2]Setup!$B$19=[2]Setup!$T$19,'[2]Country populations'!K198,'[2]Country populations'!V198)</f>
        <v>17749</v>
      </c>
      <c r="L197" s="40">
        <f>IF([2]Setup!$B$19=[2]Setup!$T$19,'[2]Country populations'!L198,'[2]Country populations'!W198)</f>
        <v>17871</v>
      </c>
      <c r="M197" s="40" t="str">
        <f t="shared" si="8"/>
        <v>Uruguay</v>
      </c>
      <c r="N197" s="40">
        <f>IF([2]Setup!$B$20=[2]Setup!$U$19,'[2]Country populations'!X198,'[2]Country populations'!AI198)</f>
        <v>347</v>
      </c>
      <c r="O197" s="40">
        <f>IF([2]Setup!$B$20=[2]Setup!$U$19,'[2]Country populations'!Y198,'[2]Country populations'!AJ198)</f>
        <v>383</v>
      </c>
      <c r="P197" s="40">
        <f>IF([2]Setup!$B$20=[2]Setup!$U$19,'[2]Country populations'!Z198,'[2]Country populations'!AK198)</f>
        <v>421</v>
      </c>
      <c r="Q197" s="40">
        <f>IF([2]Setup!$B$20=[2]Setup!$U$19,'[2]Country populations'!AA198,'[2]Country populations'!AL198)</f>
        <v>459</v>
      </c>
      <c r="R197" s="40">
        <f>IF([2]Setup!$B$20=[2]Setup!$U$19,'[2]Country populations'!AB198,'[2]Country populations'!AM198)</f>
        <v>495</v>
      </c>
      <c r="S197" s="40">
        <f>IF([2]Setup!$B$20=[2]Setup!$U$19,'[2]Country populations'!AC198,'[2]Country populations'!AN198)</f>
        <v>532</v>
      </c>
      <c r="T197" s="40">
        <f>IF([2]Setup!$B$20=[2]Setup!$U$19,'[2]Country populations'!AD198,'[2]Country populations'!AO198)</f>
        <v>570</v>
      </c>
      <c r="U197" s="40">
        <f>IF([2]Setup!$B$20=[2]Setup!$U$19,'[2]Country populations'!AE198,'[2]Country populations'!AP198)</f>
        <v>607</v>
      </c>
      <c r="V197" s="40">
        <f>IF([2]Setup!$B$20=[2]Setup!$U$19,'[2]Country populations'!AF198,'[2]Country populations'!AQ198)</f>
        <v>643</v>
      </c>
      <c r="W197" s="40">
        <f>IF([2]Setup!$B$20=[2]Setup!$U$19,'[2]Country populations'!AG198,'[2]Country populations'!AR198)</f>
        <v>678</v>
      </c>
      <c r="X197" s="40">
        <f>IF([2]Setup!$B$20=[2]Setup!$U$19,'[2]Country populations'!AH198,'[2]Country populations'!AS198)</f>
        <v>709</v>
      </c>
      <c r="Y197" s="40" t="str">
        <f t="shared" si="9"/>
        <v>Uruguay</v>
      </c>
      <c r="Z197" s="40">
        <f>IF([2]Setup!$B$21=[2]Setup!$V$19,'[2]Country populations'!AT198,'[2]Country populations'!BE198)</f>
        <v>115</v>
      </c>
      <c r="AA197" s="40">
        <f>IF([2]Setup!$B$21=[2]Setup!$V$19,'[2]Country populations'!AU198,'[2]Country populations'!BF198)</f>
        <v>117</v>
      </c>
      <c r="AB197" s="40">
        <f>IF([2]Setup!$B$21=[2]Setup!$V$19,'[2]Country populations'!AV198,'[2]Country populations'!BG198)</f>
        <v>119</v>
      </c>
      <c r="AC197" s="40">
        <f>IF([2]Setup!$B$21=[2]Setup!$V$19,'[2]Country populations'!AW198,'[2]Country populations'!BH198)</f>
        <v>121</v>
      </c>
      <c r="AD197" s="40">
        <f>IF([2]Setup!$B$21=[2]Setup!$V$19,'[2]Country populations'!AX198,'[2]Country populations'!BI198)</f>
        <v>123</v>
      </c>
      <c r="AE197" s="40">
        <f>IF([2]Setup!$B$21=[2]Setup!$V$19,'[2]Country populations'!AY198,'[2]Country populations'!BJ198)</f>
        <v>124</v>
      </c>
      <c r="AF197" s="40">
        <f>IF([2]Setup!$B$21=[2]Setup!$V$19,'[2]Country populations'!AZ198,'[2]Country populations'!BK198)</f>
        <v>125</v>
      </c>
      <c r="AG197" s="40">
        <f>IF([2]Setup!$B$21=[2]Setup!$V$19,'[2]Country populations'!BA198,'[2]Country populations'!BL198)</f>
        <v>126</v>
      </c>
      <c r="AH197" s="40">
        <f>IF([2]Setup!$B$21=[2]Setup!$V$19,'[2]Country populations'!BB198,'[2]Country populations'!BM198)</f>
        <v>126</v>
      </c>
      <c r="AI197" s="40">
        <f>IF([2]Setup!$B$21=[2]Setup!$V$19,'[2]Country populations'!BC198,'[2]Country populations'!BN198)</f>
        <v>126</v>
      </c>
      <c r="AJ197" s="40">
        <f>IF([2]Setup!$B$21=[2]Setup!$V$19,'[2]Country populations'!BD198,'[2]Country populations'!BO198)</f>
        <v>127</v>
      </c>
    </row>
    <row r="198" spans="1:36" x14ac:dyDescent="0.25">
      <c r="A198" t="str">
        <f>'[2]Country populations'!A199</f>
        <v>Uzbekistan</v>
      </c>
      <c r="B198" s="40">
        <f>IF([2]Setup!$B$19=[2]Setup!$T$19,'[2]Country populations'!B199,'[2]Country populations'!M199)</f>
        <v>35756</v>
      </c>
      <c r="C198" s="40">
        <f>IF([2]Setup!$B$19=[2]Setup!$T$19,'[2]Country populations'!C199,'[2]Country populations'!N199)</f>
        <v>35138</v>
      </c>
      <c r="D198" s="40">
        <f>IF([2]Setup!$B$19=[2]Setup!$T$19,'[2]Country populations'!D199,'[2]Country populations'!O199)</f>
        <v>34699</v>
      </c>
      <c r="E198" s="40">
        <f>IF([2]Setup!$B$19=[2]Setup!$T$19,'[2]Country populations'!E199,'[2]Country populations'!P199)</f>
        <v>34425</v>
      </c>
      <c r="F198" s="40">
        <f>IF([2]Setup!$B$19=[2]Setup!$T$19,'[2]Country populations'!F199,'[2]Country populations'!Q199)</f>
        <v>34304</v>
      </c>
      <c r="G198" s="40">
        <f>IF([2]Setup!$B$19=[2]Setup!$T$19,'[2]Country populations'!G199,'[2]Country populations'!R199)</f>
        <v>34340</v>
      </c>
      <c r="H198" s="40">
        <f>IF([2]Setup!$B$19=[2]Setup!$T$19,'[2]Country populations'!H199,'[2]Country populations'!S199)</f>
        <v>34388</v>
      </c>
      <c r="I198" s="40">
        <f>IF([2]Setup!$B$19=[2]Setup!$T$19,'[2]Country populations'!I199,'[2]Country populations'!T199)</f>
        <v>34407</v>
      </c>
      <c r="J198" s="40">
        <f>IF([2]Setup!$B$19=[2]Setup!$T$19,'[2]Country populations'!J199,'[2]Country populations'!U199)</f>
        <v>34401</v>
      </c>
      <c r="K198" s="40">
        <f>IF([2]Setup!$B$19=[2]Setup!$T$19,'[2]Country populations'!K199,'[2]Country populations'!V199)</f>
        <v>34402</v>
      </c>
      <c r="L198" s="40">
        <f>IF([2]Setup!$B$19=[2]Setup!$T$19,'[2]Country populations'!L199,'[2]Country populations'!W199)</f>
        <v>34379</v>
      </c>
      <c r="M198" s="40" t="str">
        <f t="shared" si="8"/>
        <v>Uzbekistan</v>
      </c>
      <c r="N198" s="40">
        <f>IF([2]Setup!$B$20=[2]Setup!$U$19,'[2]Country populations'!X199,'[2]Country populations'!AI199)</f>
        <v>2302</v>
      </c>
      <c r="O198" s="40">
        <f>IF([2]Setup!$B$20=[2]Setup!$U$19,'[2]Country populations'!Y199,'[2]Country populations'!AJ199)</f>
        <v>2309</v>
      </c>
      <c r="P198" s="40">
        <f>IF([2]Setup!$B$20=[2]Setup!$U$19,'[2]Country populations'!Z199,'[2]Country populations'!AK199)</f>
        <v>2305</v>
      </c>
      <c r="Q198" s="40">
        <f>IF([2]Setup!$B$20=[2]Setup!$U$19,'[2]Country populations'!AA199,'[2]Country populations'!AL199)</f>
        <v>2287</v>
      </c>
      <c r="R198" s="40">
        <f>IF([2]Setup!$B$20=[2]Setup!$U$19,'[2]Country populations'!AB199,'[2]Country populations'!AM199)</f>
        <v>2247</v>
      </c>
      <c r="S198" s="40">
        <f>IF([2]Setup!$B$20=[2]Setup!$U$19,'[2]Country populations'!AC199,'[2]Country populations'!AN199)</f>
        <v>2176</v>
      </c>
      <c r="T198" s="40">
        <f>IF([2]Setup!$B$20=[2]Setup!$U$19,'[2]Country populations'!AD199,'[2]Country populations'!AO199)</f>
        <v>2092</v>
      </c>
      <c r="U198" s="40">
        <f>IF([2]Setup!$B$20=[2]Setup!$U$19,'[2]Country populations'!AE199,'[2]Country populations'!AP199)</f>
        <v>1986</v>
      </c>
      <c r="V198" s="40">
        <f>IF([2]Setup!$B$20=[2]Setup!$U$19,'[2]Country populations'!AF199,'[2]Country populations'!AQ199)</f>
        <v>1868</v>
      </c>
      <c r="W198" s="40">
        <f>IF([2]Setup!$B$20=[2]Setup!$U$19,'[2]Country populations'!AG199,'[2]Country populations'!AR199)</f>
        <v>1713</v>
      </c>
      <c r="X198" s="40">
        <f>IF([2]Setup!$B$20=[2]Setup!$U$19,'[2]Country populations'!AH199,'[2]Country populations'!AS199)</f>
        <v>1562</v>
      </c>
      <c r="Y198" s="40" t="str">
        <f t="shared" si="9"/>
        <v>Uzbekistan</v>
      </c>
      <c r="Z198" s="40">
        <f>IF([2]Setup!$B$21=[2]Setup!$V$19,'[2]Country populations'!AT199,'[2]Country populations'!BE199)</f>
        <v>563</v>
      </c>
      <c r="AA198" s="40">
        <f>IF([2]Setup!$B$21=[2]Setup!$V$19,'[2]Country populations'!AU199,'[2]Country populations'!BF199)</f>
        <v>541</v>
      </c>
      <c r="AB198" s="40">
        <f>IF([2]Setup!$B$21=[2]Setup!$V$19,'[2]Country populations'!AV199,'[2]Country populations'!BG199)</f>
        <v>517</v>
      </c>
      <c r="AC198" s="40">
        <f>IF([2]Setup!$B$21=[2]Setup!$V$19,'[2]Country populations'!AW199,'[2]Country populations'!BH199)</f>
        <v>494</v>
      </c>
      <c r="AD198" s="40">
        <f>IF([2]Setup!$B$21=[2]Setup!$V$19,'[2]Country populations'!AX199,'[2]Country populations'!BI199)</f>
        <v>471</v>
      </c>
      <c r="AE198" s="40">
        <f>IF([2]Setup!$B$21=[2]Setup!$V$19,'[2]Country populations'!AY199,'[2]Country populations'!BJ199)</f>
        <v>448</v>
      </c>
      <c r="AF198" s="40">
        <f>IF([2]Setup!$B$21=[2]Setup!$V$19,'[2]Country populations'!AZ199,'[2]Country populations'!BK199)</f>
        <v>427</v>
      </c>
      <c r="AG198" s="40">
        <f>IF([2]Setup!$B$21=[2]Setup!$V$19,'[2]Country populations'!BA199,'[2]Country populations'!BL199)</f>
        <v>408</v>
      </c>
      <c r="AH198" s="40">
        <f>IF([2]Setup!$B$21=[2]Setup!$V$19,'[2]Country populations'!BB199,'[2]Country populations'!BM199)</f>
        <v>391</v>
      </c>
      <c r="AI198" s="40">
        <f>IF([2]Setup!$B$21=[2]Setup!$V$19,'[2]Country populations'!BC199,'[2]Country populations'!BN199)</f>
        <v>376</v>
      </c>
      <c r="AJ198" s="40">
        <f>IF([2]Setup!$B$21=[2]Setup!$V$19,'[2]Country populations'!BD199,'[2]Country populations'!BO199)</f>
        <v>366</v>
      </c>
    </row>
    <row r="199" spans="1:36" x14ac:dyDescent="0.25">
      <c r="A199" t="str">
        <f>'[2]Country populations'!A200</f>
        <v>Vanuatu</v>
      </c>
      <c r="B199" s="40">
        <f>IF([2]Setup!$B$19=[2]Setup!$T$19,'[2]Country populations'!B200,'[2]Country populations'!M200)</f>
        <v>0</v>
      </c>
      <c r="C199" s="40">
        <f>IF([2]Setup!$B$19=[2]Setup!$T$19,'[2]Country populations'!C200,'[2]Country populations'!N200)</f>
        <v>0</v>
      </c>
      <c r="D199" s="40">
        <f>IF([2]Setup!$B$19=[2]Setup!$T$19,'[2]Country populations'!D200,'[2]Country populations'!O200)</f>
        <v>0</v>
      </c>
      <c r="E199" s="40">
        <f>IF([2]Setup!$B$19=[2]Setup!$T$19,'[2]Country populations'!E200,'[2]Country populations'!P200)</f>
        <v>0</v>
      </c>
      <c r="F199" s="40">
        <f>IF([2]Setup!$B$19=[2]Setup!$T$19,'[2]Country populations'!F200,'[2]Country populations'!Q200)</f>
        <v>0</v>
      </c>
      <c r="G199" s="40">
        <f>IF([2]Setup!$B$19=[2]Setup!$T$19,'[2]Country populations'!G200,'[2]Country populations'!R200)</f>
        <v>0</v>
      </c>
      <c r="H199" s="40">
        <f>IF([2]Setup!$B$19=[2]Setup!$T$19,'[2]Country populations'!H200,'[2]Country populations'!S200)</f>
        <v>0</v>
      </c>
      <c r="I199" s="40">
        <f>IF([2]Setup!$B$19=[2]Setup!$T$19,'[2]Country populations'!I200,'[2]Country populations'!T200)</f>
        <v>0</v>
      </c>
      <c r="J199" s="40">
        <f>IF([2]Setup!$B$19=[2]Setup!$T$19,'[2]Country populations'!J200,'[2]Country populations'!U200)</f>
        <v>0</v>
      </c>
      <c r="K199" s="40">
        <f>IF([2]Setup!$B$19=[2]Setup!$T$19,'[2]Country populations'!K200,'[2]Country populations'!V200)</f>
        <v>0</v>
      </c>
      <c r="L199" s="40">
        <f>IF([2]Setup!$B$19=[2]Setup!$T$19,'[2]Country populations'!L200,'[2]Country populations'!W200)</f>
        <v>0</v>
      </c>
      <c r="M199" s="40" t="str">
        <f t="shared" si="8"/>
        <v>Vanuatu</v>
      </c>
      <c r="N199" s="40">
        <f>IF([2]Setup!$B$20=[2]Setup!$U$19,'[2]Country populations'!X200,'[2]Country populations'!AI200)</f>
        <v>0</v>
      </c>
      <c r="O199" s="40">
        <f>IF([2]Setup!$B$20=[2]Setup!$U$19,'[2]Country populations'!Y200,'[2]Country populations'!AJ200)</f>
        <v>0</v>
      </c>
      <c r="P199" s="40">
        <f>IF([2]Setup!$B$20=[2]Setup!$U$19,'[2]Country populations'!Z200,'[2]Country populations'!AK200)</f>
        <v>0</v>
      </c>
      <c r="Q199" s="40">
        <f>IF([2]Setup!$B$20=[2]Setup!$U$19,'[2]Country populations'!AA200,'[2]Country populations'!AL200)</f>
        <v>0</v>
      </c>
      <c r="R199" s="40">
        <f>IF([2]Setup!$B$20=[2]Setup!$U$19,'[2]Country populations'!AB200,'[2]Country populations'!AM200)</f>
        <v>0</v>
      </c>
      <c r="S199" s="40">
        <f>IF([2]Setup!$B$20=[2]Setup!$U$19,'[2]Country populations'!AC200,'[2]Country populations'!AN200)</f>
        <v>0</v>
      </c>
      <c r="T199" s="40">
        <f>IF([2]Setup!$B$20=[2]Setup!$U$19,'[2]Country populations'!AD200,'[2]Country populations'!AO200)</f>
        <v>0</v>
      </c>
      <c r="U199" s="40">
        <f>IF([2]Setup!$B$20=[2]Setup!$U$19,'[2]Country populations'!AE200,'[2]Country populations'!AP200)</f>
        <v>0</v>
      </c>
      <c r="V199" s="40">
        <f>IF([2]Setup!$B$20=[2]Setup!$U$19,'[2]Country populations'!AF200,'[2]Country populations'!AQ200)</f>
        <v>0</v>
      </c>
      <c r="W199" s="40">
        <f>IF([2]Setup!$B$20=[2]Setup!$U$19,'[2]Country populations'!AG200,'[2]Country populations'!AR200)</f>
        <v>0</v>
      </c>
      <c r="X199" s="40">
        <f>IF([2]Setup!$B$20=[2]Setup!$U$19,'[2]Country populations'!AH200,'[2]Country populations'!AS200)</f>
        <v>0</v>
      </c>
      <c r="Y199" s="40" t="str">
        <f t="shared" si="9"/>
        <v>Vanuatu</v>
      </c>
      <c r="Z199" s="40">
        <f>IF([2]Setup!$B$21=[2]Setup!$V$19,'[2]Country populations'!AT200,'[2]Country populations'!BE200)</f>
        <v>0</v>
      </c>
      <c r="AA199" s="40">
        <f>IF([2]Setup!$B$21=[2]Setup!$V$19,'[2]Country populations'!AU200,'[2]Country populations'!BF200)</f>
        <v>0</v>
      </c>
      <c r="AB199" s="40">
        <f>IF([2]Setup!$B$21=[2]Setup!$V$19,'[2]Country populations'!AV200,'[2]Country populations'!BG200)</f>
        <v>0</v>
      </c>
      <c r="AC199" s="40">
        <f>IF([2]Setup!$B$21=[2]Setup!$V$19,'[2]Country populations'!AW200,'[2]Country populations'!BH200)</f>
        <v>0</v>
      </c>
      <c r="AD199" s="40">
        <f>IF([2]Setup!$B$21=[2]Setup!$V$19,'[2]Country populations'!AX200,'[2]Country populations'!BI200)</f>
        <v>0</v>
      </c>
      <c r="AE199" s="40">
        <f>IF([2]Setup!$B$21=[2]Setup!$V$19,'[2]Country populations'!AY200,'[2]Country populations'!BJ200)</f>
        <v>0</v>
      </c>
      <c r="AF199" s="40">
        <f>IF([2]Setup!$B$21=[2]Setup!$V$19,'[2]Country populations'!AZ200,'[2]Country populations'!BK200)</f>
        <v>0</v>
      </c>
      <c r="AG199" s="40">
        <f>IF([2]Setup!$B$21=[2]Setup!$V$19,'[2]Country populations'!BA200,'[2]Country populations'!BL200)</f>
        <v>0</v>
      </c>
      <c r="AH199" s="40">
        <f>IF([2]Setup!$B$21=[2]Setup!$V$19,'[2]Country populations'!BB200,'[2]Country populations'!BM200)</f>
        <v>0</v>
      </c>
      <c r="AI199" s="40">
        <f>IF([2]Setup!$B$21=[2]Setup!$V$19,'[2]Country populations'!BC200,'[2]Country populations'!BN200)</f>
        <v>0</v>
      </c>
      <c r="AJ199" s="40">
        <f>IF([2]Setup!$B$21=[2]Setup!$V$19,'[2]Country populations'!BD200,'[2]Country populations'!BO200)</f>
        <v>0</v>
      </c>
    </row>
    <row r="200" spans="1:36" x14ac:dyDescent="0.25">
      <c r="A200" t="str">
        <f>'[2]Country populations'!A201</f>
        <v>Venezuela</v>
      </c>
      <c r="B200" s="40">
        <f>IF([2]Setup!$B$19=[2]Setup!$T$19,'[2]Country populations'!B201,'[2]Country populations'!M201)</f>
        <v>115470</v>
      </c>
      <c r="C200" s="40">
        <f>IF([2]Setup!$B$19=[2]Setup!$T$19,'[2]Country populations'!C201,'[2]Country populations'!N201)</f>
        <v>116150</v>
      </c>
      <c r="D200" s="40">
        <f>IF([2]Setup!$B$19=[2]Setup!$T$19,'[2]Country populations'!D201,'[2]Country populations'!O201)</f>
        <v>116574</v>
      </c>
      <c r="E200" s="40">
        <f>IF([2]Setup!$B$19=[2]Setup!$T$19,'[2]Country populations'!E201,'[2]Country populations'!P201)</f>
        <v>116807</v>
      </c>
      <c r="F200" s="40">
        <f>IF([2]Setup!$B$19=[2]Setup!$T$19,'[2]Country populations'!F201,'[2]Country populations'!Q201)</f>
        <v>116951</v>
      </c>
      <c r="G200" s="40">
        <f>IF([2]Setup!$B$19=[2]Setup!$T$19,'[2]Country populations'!G201,'[2]Country populations'!R201)</f>
        <v>117052</v>
      </c>
      <c r="H200" s="40">
        <f>IF([2]Setup!$B$19=[2]Setup!$T$19,'[2]Country populations'!H201,'[2]Country populations'!S201)</f>
        <v>117140</v>
      </c>
      <c r="I200" s="40">
        <f>IF([2]Setup!$B$19=[2]Setup!$T$19,'[2]Country populations'!I201,'[2]Country populations'!T201)</f>
        <v>117238</v>
      </c>
      <c r="J200" s="40">
        <f>IF([2]Setup!$B$19=[2]Setup!$T$19,'[2]Country populations'!J201,'[2]Country populations'!U201)</f>
        <v>117335</v>
      </c>
      <c r="K200" s="40">
        <f>IF([2]Setup!$B$19=[2]Setup!$T$19,'[2]Country populations'!K201,'[2]Country populations'!V201)</f>
        <v>117466</v>
      </c>
      <c r="L200" s="40">
        <f>IF([2]Setup!$B$19=[2]Setup!$T$19,'[2]Country populations'!L201,'[2]Country populations'!W201)</f>
        <v>117585</v>
      </c>
      <c r="M200" s="40" t="str">
        <f t="shared" si="8"/>
        <v>Venezuela</v>
      </c>
      <c r="N200" s="40">
        <f>IF([2]Setup!$B$20=[2]Setup!$U$19,'[2]Country populations'!X201,'[2]Country populations'!AI201)</f>
        <v>4378</v>
      </c>
      <c r="O200" s="40">
        <f>IF([2]Setup!$B$20=[2]Setup!$U$19,'[2]Country populations'!Y201,'[2]Country populations'!AJ201)</f>
        <v>4572</v>
      </c>
      <c r="P200" s="40">
        <f>IF([2]Setup!$B$20=[2]Setup!$U$19,'[2]Country populations'!Z201,'[2]Country populations'!AK201)</f>
        <v>4795</v>
      </c>
      <c r="Q200" s="40">
        <f>IF([2]Setup!$B$20=[2]Setup!$U$19,'[2]Country populations'!AA201,'[2]Country populations'!AL201)</f>
        <v>5047</v>
      </c>
      <c r="R200" s="40">
        <f>IF([2]Setup!$B$20=[2]Setup!$U$19,'[2]Country populations'!AB201,'[2]Country populations'!AM201)</f>
        <v>5257</v>
      </c>
      <c r="S200" s="40">
        <f>IF([2]Setup!$B$20=[2]Setup!$U$19,'[2]Country populations'!AC201,'[2]Country populations'!AN201)</f>
        <v>5450</v>
      </c>
      <c r="T200" s="40">
        <f>IF([2]Setup!$B$20=[2]Setup!$U$19,'[2]Country populations'!AD201,'[2]Country populations'!AO201)</f>
        <v>5652</v>
      </c>
      <c r="U200" s="40">
        <f>IF([2]Setup!$B$20=[2]Setup!$U$19,'[2]Country populations'!AE201,'[2]Country populations'!AP201)</f>
        <v>5818</v>
      </c>
      <c r="V200" s="40">
        <f>IF([2]Setup!$B$20=[2]Setup!$U$19,'[2]Country populations'!AF201,'[2]Country populations'!AQ201)</f>
        <v>5986</v>
      </c>
      <c r="W200" s="40">
        <f>IF([2]Setup!$B$20=[2]Setup!$U$19,'[2]Country populations'!AG201,'[2]Country populations'!AR201)</f>
        <v>6118</v>
      </c>
      <c r="X200" s="40">
        <f>IF([2]Setup!$B$20=[2]Setup!$U$19,'[2]Country populations'!AH201,'[2]Country populations'!AS201)</f>
        <v>6261</v>
      </c>
      <c r="Y200" s="40" t="str">
        <f t="shared" si="9"/>
        <v>Venezuela</v>
      </c>
      <c r="Z200" s="40">
        <f>IF([2]Setup!$B$21=[2]Setup!$V$19,'[2]Country populations'!AT201,'[2]Country populations'!BE201)</f>
        <v>1420</v>
      </c>
      <c r="AA200" s="40">
        <f>IF([2]Setup!$B$21=[2]Setup!$V$19,'[2]Country populations'!AU201,'[2]Country populations'!BF201)</f>
        <v>1387</v>
      </c>
      <c r="AB200" s="40">
        <f>IF([2]Setup!$B$21=[2]Setup!$V$19,'[2]Country populations'!AV201,'[2]Country populations'!BG201)</f>
        <v>1354</v>
      </c>
      <c r="AC200" s="40">
        <f>IF([2]Setup!$B$21=[2]Setup!$V$19,'[2]Country populations'!AW201,'[2]Country populations'!BH201)</f>
        <v>1320</v>
      </c>
      <c r="AD200" s="40">
        <f>IF([2]Setup!$B$21=[2]Setup!$V$19,'[2]Country populations'!AX201,'[2]Country populations'!BI201)</f>
        <v>1287</v>
      </c>
      <c r="AE200" s="40">
        <f>IF([2]Setup!$B$21=[2]Setup!$V$19,'[2]Country populations'!AY201,'[2]Country populations'!BJ201)</f>
        <v>1256</v>
      </c>
      <c r="AF200" s="40">
        <f>IF([2]Setup!$B$21=[2]Setup!$V$19,'[2]Country populations'!AZ201,'[2]Country populations'!BK201)</f>
        <v>1229</v>
      </c>
      <c r="AG200" s="40">
        <f>IF([2]Setup!$B$21=[2]Setup!$V$19,'[2]Country populations'!BA201,'[2]Country populations'!BL201)</f>
        <v>1204</v>
      </c>
      <c r="AH200" s="40">
        <f>IF([2]Setup!$B$21=[2]Setup!$V$19,'[2]Country populations'!BB201,'[2]Country populations'!BM201)</f>
        <v>1183</v>
      </c>
      <c r="AI200" s="40">
        <f>IF([2]Setup!$B$21=[2]Setup!$V$19,'[2]Country populations'!BC201,'[2]Country populations'!BN201)</f>
        <v>1165</v>
      </c>
      <c r="AJ200" s="40">
        <f>IF([2]Setup!$B$21=[2]Setup!$V$19,'[2]Country populations'!BD201,'[2]Country populations'!BO201)</f>
        <v>1150</v>
      </c>
    </row>
    <row r="201" spans="1:36" x14ac:dyDescent="0.25">
      <c r="A201" t="str">
        <f>'[2]Country populations'!A202</f>
        <v>Viet Nam</v>
      </c>
      <c r="B201" s="40">
        <f>IF([2]Setup!$B$19=[2]Setup!$T$19,'[2]Country populations'!B202,'[2]Country populations'!M202)</f>
        <v>284369</v>
      </c>
      <c r="C201" s="40">
        <f>IF([2]Setup!$B$19=[2]Setup!$T$19,'[2]Country populations'!C202,'[2]Country populations'!N202)</f>
        <v>288650</v>
      </c>
      <c r="D201" s="40">
        <f>IF([2]Setup!$B$19=[2]Setup!$T$19,'[2]Country populations'!D202,'[2]Country populations'!O202)</f>
        <v>292936</v>
      </c>
      <c r="E201" s="40">
        <f>IF([2]Setup!$B$19=[2]Setup!$T$19,'[2]Country populations'!E202,'[2]Country populations'!P202)</f>
        <v>297398</v>
      </c>
      <c r="F201" s="40">
        <f>IF([2]Setup!$B$19=[2]Setup!$T$19,'[2]Country populations'!F202,'[2]Country populations'!Q202)</f>
        <v>302134</v>
      </c>
      <c r="G201" s="40">
        <f>IF([2]Setup!$B$19=[2]Setup!$T$19,'[2]Country populations'!G202,'[2]Country populations'!R202)</f>
        <v>307288</v>
      </c>
      <c r="H201" s="40">
        <f>IF([2]Setup!$B$19=[2]Setup!$T$19,'[2]Country populations'!H202,'[2]Country populations'!S202)</f>
        <v>312211</v>
      </c>
      <c r="I201" s="40">
        <f>IF([2]Setup!$B$19=[2]Setup!$T$19,'[2]Country populations'!I202,'[2]Country populations'!T202)</f>
        <v>316664</v>
      </c>
      <c r="J201" s="40">
        <f>IF([2]Setup!$B$19=[2]Setup!$T$19,'[2]Country populations'!J202,'[2]Country populations'!U202)</f>
        <v>320650</v>
      </c>
      <c r="K201" s="40">
        <f>IF([2]Setup!$B$19=[2]Setup!$T$19,'[2]Country populations'!K202,'[2]Country populations'!V202)</f>
        <v>324180</v>
      </c>
      <c r="L201" s="40">
        <f>IF([2]Setup!$B$19=[2]Setup!$T$19,'[2]Country populations'!L202,'[2]Country populations'!W202)</f>
        <v>327291</v>
      </c>
      <c r="M201" s="40" t="str">
        <f t="shared" si="8"/>
        <v>Viet Nam</v>
      </c>
      <c r="N201" s="40">
        <f>IF([2]Setup!$B$20=[2]Setup!$U$19,'[2]Country populations'!X202,'[2]Country populations'!AI202)</f>
        <v>6459</v>
      </c>
      <c r="O201" s="40">
        <f>IF([2]Setup!$B$20=[2]Setup!$U$19,'[2]Country populations'!Y202,'[2]Country populations'!AJ202)</f>
        <v>6268</v>
      </c>
      <c r="P201" s="40">
        <f>IF([2]Setup!$B$20=[2]Setup!$U$19,'[2]Country populations'!Z202,'[2]Country populations'!AK202)</f>
        <v>6037</v>
      </c>
      <c r="Q201" s="40">
        <f>IF([2]Setup!$B$20=[2]Setup!$U$19,'[2]Country populations'!AA202,'[2]Country populations'!AL202)</f>
        <v>5790</v>
      </c>
      <c r="R201" s="40">
        <f>IF([2]Setup!$B$20=[2]Setup!$U$19,'[2]Country populations'!AB202,'[2]Country populations'!AM202)</f>
        <v>5528</v>
      </c>
      <c r="S201" s="40">
        <f>IF([2]Setup!$B$20=[2]Setup!$U$19,'[2]Country populations'!AC202,'[2]Country populations'!AN202)</f>
        <v>5189</v>
      </c>
      <c r="T201" s="40">
        <f>IF([2]Setup!$B$20=[2]Setup!$U$19,'[2]Country populations'!AD202,'[2]Country populations'!AO202)</f>
        <v>4773</v>
      </c>
      <c r="U201" s="40">
        <f>IF([2]Setup!$B$20=[2]Setup!$U$19,'[2]Country populations'!AE202,'[2]Country populations'!AP202)</f>
        <v>4295</v>
      </c>
      <c r="V201" s="40">
        <f>IF([2]Setup!$B$20=[2]Setup!$U$19,'[2]Country populations'!AF202,'[2]Country populations'!AQ202)</f>
        <v>3825</v>
      </c>
      <c r="W201" s="40">
        <f>IF([2]Setup!$B$20=[2]Setup!$U$19,'[2]Country populations'!AG202,'[2]Country populations'!AR202)</f>
        <v>3365</v>
      </c>
      <c r="X201" s="40">
        <f>IF([2]Setup!$B$20=[2]Setup!$U$19,'[2]Country populations'!AH202,'[2]Country populations'!AS202)</f>
        <v>2922</v>
      </c>
      <c r="Y201" s="40" t="str">
        <f t="shared" si="9"/>
        <v>Viet Nam</v>
      </c>
      <c r="Z201" s="40">
        <f>IF([2]Setup!$B$21=[2]Setup!$V$19,'[2]Country populations'!AT202,'[2]Country populations'!BE202)</f>
        <v>2106</v>
      </c>
      <c r="AA201" s="40">
        <f>IF([2]Setup!$B$21=[2]Setup!$V$19,'[2]Country populations'!AU202,'[2]Country populations'!BF202)</f>
        <v>1998</v>
      </c>
      <c r="AB201" s="40">
        <f>IF([2]Setup!$B$21=[2]Setup!$V$19,'[2]Country populations'!AV202,'[2]Country populations'!BG202)</f>
        <v>1894</v>
      </c>
      <c r="AC201" s="40">
        <f>IF([2]Setup!$B$21=[2]Setup!$V$19,'[2]Country populations'!AW202,'[2]Country populations'!BH202)</f>
        <v>1797</v>
      </c>
      <c r="AD201" s="40">
        <f>IF([2]Setup!$B$21=[2]Setup!$V$19,'[2]Country populations'!AX202,'[2]Country populations'!BI202)</f>
        <v>1707</v>
      </c>
      <c r="AE201" s="40">
        <f>IF([2]Setup!$B$21=[2]Setup!$V$19,'[2]Country populations'!AY202,'[2]Country populations'!BJ202)</f>
        <v>1627</v>
      </c>
      <c r="AF201" s="40">
        <f>IF([2]Setup!$B$21=[2]Setup!$V$19,'[2]Country populations'!AZ202,'[2]Country populations'!BK202)</f>
        <v>1554</v>
      </c>
      <c r="AG201" s="40">
        <f>IF([2]Setup!$B$21=[2]Setup!$V$19,'[2]Country populations'!BA202,'[2]Country populations'!BL202)</f>
        <v>1484</v>
      </c>
      <c r="AH201" s="40">
        <f>IF([2]Setup!$B$21=[2]Setup!$V$19,'[2]Country populations'!BB202,'[2]Country populations'!BM202)</f>
        <v>1423</v>
      </c>
      <c r="AI201" s="40">
        <f>IF([2]Setup!$B$21=[2]Setup!$V$19,'[2]Country populations'!BC202,'[2]Country populations'!BN202)</f>
        <v>1371</v>
      </c>
      <c r="AJ201" s="40">
        <f>IF([2]Setup!$B$21=[2]Setup!$V$19,'[2]Country populations'!BD202,'[2]Country populations'!BO202)</f>
        <v>1329</v>
      </c>
    </row>
    <row r="202" spans="1:36" x14ac:dyDescent="0.25">
      <c r="A202" t="str">
        <f>'[2]Country populations'!A203</f>
        <v>Yemen</v>
      </c>
      <c r="B202" s="40">
        <f>IF([2]Setup!$B$19=[2]Setup!$T$19,'[2]Country populations'!B203,'[2]Country populations'!M203)</f>
        <v>7323</v>
      </c>
      <c r="C202" s="40">
        <f>IF([2]Setup!$B$19=[2]Setup!$T$19,'[2]Country populations'!C203,'[2]Country populations'!N203)</f>
        <v>7714</v>
      </c>
      <c r="D202" s="40">
        <f>IF([2]Setup!$B$19=[2]Setup!$T$19,'[2]Country populations'!D203,'[2]Country populations'!O203)</f>
        <v>8156</v>
      </c>
      <c r="E202" s="40">
        <f>IF([2]Setup!$B$19=[2]Setup!$T$19,'[2]Country populations'!E203,'[2]Country populations'!P203)</f>
        <v>8646</v>
      </c>
      <c r="F202" s="40">
        <f>IF([2]Setup!$B$19=[2]Setup!$T$19,'[2]Country populations'!F203,'[2]Country populations'!Q203)</f>
        <v>9193</v>
      </c>
      <c r="G202" s="40">
        <f>IF([2]Setup!$B$19=[2]Setup!$T$19,'[2]Country populations'!G203,'[2]Country populations'!R203)</f>
        <v>9769</v>
      </c>
      <c r="H202" s="40">
        <f>IF([2]Setup!$B$19=[2]Setup!$T$19,'[2]Country populations'!H203,'[2]Country populations'!S203)</f>
        <v>10373</v>
      </c>
      <c r="I202" s="40">
        <f>IF([2]Setup!$B$19=[2]Setup!$T$19,'[2]Country populations'!I203,'[2]Country populations'!T203)</f>
        <v>10990</v>
      </c>
      <c r="J202" s="40">
        <f>IF([2]Setup!$B$19=[2]Setup!$T$19,'[2]Country populations'!J203,'[2]Country populations'!U203)</f>
        <v>11619</v>
      </c>
      <c r="K202" s="40">
        <f>IF([2]Setup!$B$19=[2]Setup!$T$19,'[2]Country populations'!K203,'[2]Country populations'!V203)</f>
        <v>12259</v>
      </c>
      <c r="L202" s="40">
        <f>IF([2]Setup!$B$19=[2]Setup!$T$19,'[2]Country populations'!L203,'[2]Country populations'!W203)</f>
        <v>12909</v>
      </c>
      <c r="M202" s="40" t="str">
        <f t="shared" si="8"/>
        <v>Yemen</v>
      </c>
      <c r="N202" s="40">
        <f>IF([2]Setup!$B$20=[2]Setup!$U$19,'[2]Country populations'!X203,'[2]Country populations'!AI203)</f>
        <v>346</v>
      </c>
      <c r="O202" s="40">
        <f>IF([2]Setup!$B$20=[2]Setup!$U$19,'[2]Country populations'!Y203,'[2]Country populations'!AJ203)</f>
        <v>392</v>
      </c>
      <c r="P202" s="40">
        <f>IF([2]Setup!$B$20=[2]Setup!$U$19,'[2]Country populations'!Z203,'[2]Country populations'!AK203)</f>
        <v>446</v>
      </c>
      <c r="Q202" s="40">
        <f>IF([2]Setup!$B$20=[2]Setup!$U$19,'[2]Country populations'!AA203,'[2]Country populations'!AL203)</f>
        <v>505</v>
      </c>
      <c r="R202" s="40">
        <f>IF([2]Setup!$B$20=[2]Setup!$U$19,'[2]Country populations'!AB203,'[2]Country populations'!AM203)</f>
        <v>566</v>
      </c>
      <c r="S202" s="40">
        <f>IF([2]Setup!$B$20=[2]Setup!$U$19,'[2]Country populations'!AC203,'[2]Country populations'!AN203)</f>
        <v>625</v>
      </c>
      <c r="T202" s="40">
        <f>IF([2]Setup!$B$20=[2]Setup!$U$19,'[2]Country populations'!AD203,'[2]Country populations'!AO203)</f>
        <v>688</v>
      </c>
      <c r="U202" s="40">
        <f>IF([2]Setup!$B$20=[2]Setup!$U$19,'[2]Country populations'!AE203,'[2]Country populations'!AP203)</f>
        <v>757</v>
      </c>
      <c r="V202" s="40">
        <f>IF([2]Setup!$B$20=[2]Setup!$U$19,'[2]Country populations'!AF203,'[2]Country populations'!AQ203)</f>
        <v>823</v>
      </c>
      <c r="W202" s="40">
        <f>IF([2]Setup!$B$20=[2]Setup!$U$19,'[2]Country populations'!AG203,'[2]Country populations'!AR203)</f>
        <v>888</v>
      </c>
      <c r="X202" s="40">
        <f>IF([2]Setup!$B$20=[2]Setup!$U$19,'[2]Country populations'!AH203,'[2]Country populations'!AS203)</f>
        <v>953</v>
      </c>
      <c r="Y202" s="40" t="str">
        <f t="shared" si="9"/>
        <v>Yemen</v>
      </c>
      <c r="Z202" s="40">
        <f>IF([2]Setup!$B$21=[2]Setup!$V$19,'[2]Country populations'!AT203,'[2]Country populations'!BE203)</f>
        <v>199</v>
      </c>
      <c r="AA202" s="40">
        <f>IF([2]Setup!$B$21=[2]Setup!$V$19,'[2]Country populations'!AU203,'[2]Country populations'!BF203)</f>
        <v>216</v>
      </c>
      <c r="AB202" s="40">
        <f>IF([2]Setup!$B$21=[2]Setup!$V$19,'[2]Country populations'!AV203,'[2]Country populations'!BG203)</f>
        <v>234</v>
      </c>
      <c r="AC202" s="40">
        <f>IF([2]Setup!$B$21=[2]Setup!$V$19,'[2]Country populations'!AW203,'[2]Country populations'!BH203)</f>
        <v>253</v>
      </c>
      <c r="AD202" s="40">
        <f>IF([2]Setup!$B$21=[2]Setup!$V$19,'[2]Country populations'!AX203,'[2]Country populations'!BI203)</f>
        <v>274</v>
      </c>
      <c r="AE202" s="40">
        <f>IF([2]Setup!$B$21=[2]Setup!$V$19,'[2]Country populations'!AY203,'[2]Country populations'!BJ203)</f>
        <v>296</v>
      </c>
      <c r="AF202" s="40">
        <f>IF([2]Setup!$B$21=[2]Setup!$V$19,'[2]Country populations'!AZ203,'[2]Country populations'!BK203)</f>
        <v>315</v>
      </c>
      <c r="AG202" s="40">
        <f>IF([2]Setup!$B$21=[2]Setup!$V$19,'[2]Country populations'!BA203,'[2]Country populations'!BL203)</f>
        <v>331</v>
      </c>
      <c r="AH202" s="40">
        <f>IF([2]Setup!$B$21=[2]Setup!$V$19,'[2]Country populations'!BB203,'[2]Country populations'!BM203)</f>
        <v>347</v>
      </c>
      <c r="AI202" s="40">
        <f>IF([2]Setup!$B$21=[2]Setup!$V$19,'[2]Country populations'!BC203,'[2]Country populations'!BN203)</f>
        <v>360</v>
      </c>
      <c r="AJ202" s="40">
        <f>IF([2]Setup!$B$21=[2]Setup!$V$19,'[2]Country populations'!BD203,'[2]Country populations'!BO203)</f>
        <v>373</v>
      </c>
    </row>
    <row r="203" spans="1:36" x14ac:dyDescent="0.25">
      <c r="A203" t="str">
        <f>'[2]Country populations'!A204</f>
        <v>Zambia</v>
      </c>
      <c r="B203" s="40">
        <f>IF([2]Setup!$B$19=[2]Setup!$T$19,'[2]Country populations'!B204,'[2]Country populations'!M204)</f>
        <v>1094965</v>
      </c>
      <c r="C203" s="40">
        <f>IF([2]Setup!$B$19=[2]Setup!$T$19,'[2]Country populations'!C204,'[2]Country populations'!N204)</f>
        <v>1098526</v>
      </c>
      <c r="D203" s="40">
        <f>IF([2]Setup!$B$19=[2]Setup!$T$19,'[2]Country populations'!D204,'[2]Country populations'!O204)</f>
        <v>1096284</v>
      </c>
      <c r="E203" s="40">
        <f>IF([2]Setup!$B$19=[2]Setup!$T$19,'[2]Country populations'!E204,'[2]Country populations'!P204)</f>
        <v>1093299</v>
      </c>
      <c r="F203" s="40">
        <f>IF([2]Setup!$B$19=[2]Setup!$T$19,'[2]Country populations'!F204,'[2]Country populations'!Q204)</f>
        <v>1091778</v>
      </c>
      <c r="G203" s="40">
        <f>IF([2]Setup!$B$19=[2]Setup!$T$19,'[2]Country populations'!G204,'[2]Country populations'!R204)</f>
        <v>1092106</v>
      </c>
      <c r="H203" s="40">
        <f>IF([2]Setup!$B$19=[2]Setup!$T$19,'[2]Country populations'!H204,'[2]Country populations'!S204)</f>
        <v>1094078</v>
      </c>
      <c r="I203" s="40">
        <f>IF([2]Setup!$B$19=[2]Setup!$T$19,'[2]Country populations'!I204,'[2]Country populations'!T204)</f>
        <v>1097164</v>
      </c>
      <c r="J203" s="40">
        <f>IF([2]Setup!$B$19=[2]Setup!$T$19,'[2]Country populations'!J204,'[2]Country populations'!U204)</f>
        <v>1101529</v>
      </c>
      <c r="K203" s="40">
        <f>IF([2]Setup!$B$19=[2]Setup!$T$19,'[2]Country populations'!K204,'[2]Country populations'!V204)</f>
        <v>1106757</v>
      </c>
      <c r="L203" s="40">
        <f>IF([2]Setup!$B$19=[2]Setup!$T$19,'[2]Country populations'!L204,'[2]Country populations'!W204)</f>
        <v>1112782</v>
      </c>
      <c r="M203" s="40" t="str">
        <f t="shared" si="8"/>
        <v>Zambia</v>
      </c>
      <c r="N203" s="40">
        <f>IF([2]Setup!$B$20=[2]Setup!$U$19,'[2]Country populations'!X204,'[2]Country populations'!AI204)</f>
        <v>147351</v>
      </c>
      <c r="O203" s="40">
        <f>IF([2]Setup!$B$20=[2]Setup!$U$19,'[2]Country populations'!Y204,'[2]Country populations'!AJ204)</f>
        <v>143546</v>
      </c>
      <c r="P203" s="40">
        <f>IF([2]Setup!$B$20=[2]Setup!$U$19,'[2]Country populations'!Z204,'[2]Country populations'!AK204)</f>
        <v>140858</v>
      </c>
      <c r="Q203" s="40">
        <f>IF([2]Setup!$B$20=[2]Setup!$U$19,'[2]Country populations'!AA204,'[2]Country populations'!AL204)</f>
        <v>138013</v>
      </c>
      <c r="R203" s="40">
        <f>IF([2]Setup!$B$20=[2]Setup!$U$19,'[2]Country populations'!AB204,'[2]Country populations'!AM204)</f>
        <v>136019</v>
      </c>
      <c r="S203" s="40">
        <f>IF([2]Setup!$B$20=[2]Setup!$U$19,'[2]Country populations'!AC204,'[2]Country populations'!AN204)</f>
        <v>133576</v>
      </c>
      <c r="T203" s="40">
        <f>IF([2]Setup!$B$20=[2]Setup!$U$19,'[2]Country populations'!AD204,'[2]Country populations'!AO204)</f>
        <v>129564</v>
      </c>
      <c r="U203" s="40">
        <f>IF([2]Setup!$B$20=[2]Setup!$U$19,'[2]Country populations'!AE204,'[2]Country populations'!AP204)</f>
        <v>124253</v>
      </c>
      <c r="V203" s="40">
        <f>IF([2]Setup!$B$20=[2]Setup!$U$19,'[2]Country populations'!AF204,'[2]Country populations'!AQ204)</f>
        <v>117828</v>
      </c>
      <c r="W203" s="40">
        <f>IF([2]Setup!$B$20=[2]Setup!$U$19,'[2]Country populations'!AG204,'[2]Country populations'!AR204)</f>
        <v>111228</v>
      </c>
      <c r="X203" s="40">
        <f>IF([2]Setup!$B$20=[2]Setup!$U$19,'[2]Country populations'!AH204,'[2]Country populations'!AS204)</f>
        <v>104901</v>
      </c>
      <c r="Y203" s="40" t="str">
        <f t="shared" si="9"/>
        <v>Zambia</v>
      </c>
      <c r="Z203" s="40">
        <f>IF([2]Setup!$B$21=[2]Setup!$V$19,'[2]Country populations'!AT204,'[2]Country populations'!BE204)</f>
        <v>81413</v>
      </c>
      <c r="AA203" s="40">
        <f>IF([2]Setup!$B$21=[2]Setup!$V$19,'[2]Country populations'!AU204,'[2]Country populations'!BF204)</f>
        <v>79281</v>
      </c>
      <c r="AB203" s="40">
        <f>IF([2]Setup!$B$21=[2]Setup!$V$19,'[2]Country populations'!AV204,'[2]Country populations'!BG204)</f>
        <v>76687</v>
      </c>
      <c r="AC203" s="40">
        <f>IF([2]Setup!$B$21=[2]Setup!$V$19,'[2]Country populations'!AW204,'[2]Country populations'!BH204)</f>
        <v>73870</v>
      </c>
      <c r="AD203" s="40">
        <f>IF([2]Setup!$B$21=[2]Setup!$V$19,'[2]Country populations'!AX204,'[2]Country populations'!BI204)</f>
        <v>71053</v>
      </c>
      <c r="AE203" s="40">
        <f>IF([2]Setup!$B$21=[2]Setup!$V$19,'[2]Country populations'!AY204,'[2]Country populations'!BJ204)</f>
        <v>68396</v>
      </c>
      <c r="AF203" s="40">
        <f>IF([2]Setup!$B$21=[2]Setup!$V$19,'[2]Country populations'!AZ204,'[2]Country populations'!BK204)</f>
        <v>66064</v>
      </c>
      <c r="AG203" s="40">
        <f>IF([2]Setup!$B$21=[2]Setup!$V$19,'[2]Country populations'!BA204,'[2]Country populations'!BL204)</f>
        <v>64120</v>
      </c>
      <c r="AH203" s="40">
        <f>IF([2]Setup!$B$21=[2]Setup!$V$19,'[2]Country populations'!BB204,'[2]Country populations'!BM204)</f>
        <v>62578</v>
      </c>
      <c r="AI203" s="40">
        <f>IF([2]Setup!$B$21=[2]Setup!$V$19,'[2]Country populations'!BC204,'[2]Country populations'!BN204)</f>
        <v>61425</v>
      </c>
      <c r="AJ203" s="40">
        <f>IF([2]Setup!$B$21=[2]Setup!$V$19,'[2]Country populations'!BD204,'[2]Country populations'!BO204)</f>
        <v>60612</v>
      </c>
    </row>
    <row r="204" spans="1:36" x14ac:dyDescent="0.25">
      <c r="A204" t="str">
        <f>'[2]Country populations'!A205</f>
        <v>Zimbabwe</v>
      </c>
      <c r="B204" s="40">
        <f>IF([2]Setup!$B$19=[2]Setup!$T$19,'[2]Country populations'!B205,'[2]Country populations'!M205)</f>
        <v>1430304</v>
      </c>
      <c r="C204" s="40">
        <f>IF([2]Setup!$B$19=[2]Setup!$T$19,'[2]Country populations'!C205,'[2]Country populations'!N205)</f>
        <v>1460186</v>
      </c>
      <c r="D204" s="40">
        <f>IF([2]Setup!$B$19=[2]Setup!$T$19,'[2]Country populations'!D205,'[2]Country populations'!O205)</f>
        <v>1484707</v>
      </c>
      <c r="E204" s="40">
        <f>IF([2]Setup!$B$19=[2]Setup!$T$19,'[2]Country populations'!E205,'[2]Country populations'!P205)</f>
        <v>1504160</v>
      </c>
      <c r="F204" s="40">
        <f>IF([2]Setup!$B$19=[2]Setup!$T$19,'[2]Country populations'!F205,'[2]Country populations'!Q205)</f>
        <v>1517758</v>
      </c>
      <c r="G204" s="40">
        <f>IF([2]Setup!$B$19=[2]Setup!$T$19,'[2]Country populations'!G205,'[2]Country populations'!R205)</f>
        <v>1524379</v>
      </c>
      <c r="H204" s="40">
        <f>IF([2]Setup!$B$19=[2]Setup!$T$19,'[2]Country populations'!H205,'[2]Country populations'!S205)</f>
        <v>1529865</v>
      </c>
      <c r="I204" s="40">
        <f>IF([2]Setup!$B$19=[2]Setup!$T$19,'[2]Country populations'!I205,'[2]Country populations'!T205)</f>
        <v>1533794</v>
      </c>
      <c r="J204" s="40">
        <f>IF([2]Setup!$B$19=[2]Setup!$T$19,'[2]Country populations'!J205,'[2]Country populations'!U205)</f>
        <v>1537539</v>
      </c>
      <c r="K204" s="40">
        <f>IF([2]Setup!$B$19=[2]Setup!$T$19,'[2]Country populations'!K205,'[2]Country populations'!V205)</f>
        <v>1541033</v>
      </c>
      <c r="L204" s="40">
        <f>IF([2]Setup!$B$19=[2]Setup!$T$19,'[2]Country populations'!L205,'[2]Country populations'!W205)</f>
        <v>1544039</v>
      </c>
      <c r="M204" s="40" t="str">
        <f t="shared" si="8"/>
        <v>Zimbabwe</v>
      </c>
      <c r="N204" s="40">
        <f>IF([2]Setup!$B$20=[2]Setup!$U$19,'[2]Country populations'!X205,'[2]Country populations'!AI205)</f>
        <v>146362</v>
      </c>
      <c r="O204" s="40">
        <f>IF([2]Setup!$B$20=[2]Setup!$U$19,'[2]Country populations'!Y205,'[2]Country populations'!AJ205)</f>
        <v>133837</v>
      </c>
      <c r="P204" s="40">
        <f>IF([2]Setup!$B$20=[2]Setup!$U$19,'[2]Country populations'!Z205,'[2]Country populations'!AK205)</f>
        <v>123297</v>
      </c>
      <c r="Q204" s="40">
        <f>IF([2]Setup!$B$20=[2]Setup!$U$19,'[2]Country populations'!AA205,'[2]Country populations'!AL205)</f>
        <v>112838</v>
      </c>
      <c r="R204" s="40">
        <f>IF([2]Setup!$B$20=[2]Setup!$U$19,'[2]Country populations'!AB205,'[2]Country populations'!AM205)</f>
        <v>102196</v>
      </c>
      <c r="S204" s="40">
        <f>IF([2]Setup!$B$20=[2]Setup!$U$19,'[2]Country populations'!AC205,'[2]Country populations'!AN205)</f>
        <v>91442</v>
      </c>
      <c r="T204" s="40">
        <f>IF([2]Setup!$B$20=[2]Setup!$U$19,'[2]Country populations'!AD205,'[2]Country populations'!AO205)</f>
        <v>80423</v>
      </c>
      <c r="U204" s="40">
        <f>IF([2]Setup!$B$20=[2]Setup!$U$19,'[2]Country populations'!AE205,'[2]Country populations'!AP205)</f>
        <v>69094</v>
      </c>
      <c r="V204" s="40">
        <f>IF([2]Setup!$B$20=[2]Setup!$U$19,'[2]Country populations'!AF205,'[2]Country populations'!AQ205)</f>
        <v>57599</v>
      </c>
      <c r="W204" s="40">
        <f>IF([2]Setup!$B$20=[2]Setup!$U$19,'[2]Country populations'!AG205,'[2]Country populations'!AR205)</f>
        <v>46246</v>
      </c>
      <c r="X204" s="40">
        <f>IF([2]Setup!$B$20=[2]Setup!$U$19,'[2]Country populations'!AH205,'[2]Country populations'!AS205)</f>
        <v>36294</v>
      </c>
      <c r="Y204" s="40" t="str">
        <f t="shared" si="9"/>
        <v>Zimbabwe</v>
      </c>
      <c r="Z204" s="40">
        <f>IF([2]Setup!$B$21=[2]Setup!$V$19,'[2]Country populations'!AT205,'[2]Country populations'!BE205)</f>
        <v>68935</v>
      </c>
      <c r="AA204" s="40">
        <f>IF([2]Setup!$B$21=[2]Setup!$V$19,'[2]Country populations'!AU205,'[2]Country populations'!BF205)</f>
        <v>67249</v>
      </c>
      <c r="AB204" s="40">
        <f>IF([2]Setup!$B$21=[2]Setup!$V$19,'[2]Country populations'!AV205,'[2]Country populations'!BG205)</f>
        <v>64918</v>
      </c>
      <c r="AC204" s="40">
        <f>IF([2]Setup!$B$21=[2]Setup!$V$19,'[2]Country populations'!AW205,'[2]Country populations'!BH205)</f>
        <v>62117</v>
      </c>
      <c r="AD204" s="40">
        <f>IF([2]Setup!$B$21=[2]Setup!$V$19,'[2]Country populations'!AX205,'[2]Country populations'!BI205)</f>
        <v>59063</v>
      </c>
      <c r="AE204" s="40">
        <f>IF([2]Setup!$B$21=[2]Setup!$V$19,'[2]Country populations'!AY205,'[2]Country populations'!BJ205)</f>
        <v>55787</v>
      </c>
      <c r="AF204" s="40">
        <f>IF([2]Setup!$B$21=[2]Setup!$V$19,'[2]Country populations'!AZ205,'[2]Country populations'!BK205)</f>
        <v>52492</v>
      </c>
      <c r="AG204" s="40">
        <f>IF([2]Setup!$B$21=[2]Setup!$V$19,'[2]Country populations'!BA205,'[2]Country populations'!BL205)</f>
        <v>49309</v>
      </c>
      <c r="AH204" s="40">
        <f>IF([2]Setup!$B$21=[2]Setup!$V$19,'[2]Country populations'!BB205,'[2]Country populations'!BM205)</f>
        <v>46279</v>
      </c>
      <c r="AI204" s="40">
        <f>IF([2]Setup!$B$21=[2]Setup!$V$19,'[2]Country populations'!BC205,'[2]Country populations'!BN205)</f>
        <v>43471</v>
      </c>
      <c r="AJ204" s="40">
        <f>IF([2]Setup!$B$21=[2]Setup!$V$19,'[2]Country populations'!BD205,'[2]Country populations'!BO205)</f>
        <v>40913</v>
      </c>
    </row>
    <row r="207" spans="1:36" x14ac:dyDescent="0.25">
      <c r="A207" t="s">
        <v>182</v>
      </c>
      <c r="B207">
        <v>2</v>
      </c>
      <c r="C207">
        <f>B207+1</f>
        <v>3</v>
      </c>
      <c r="D207">
        <f t="shared" ref="D207:L207" si="10">C207+1</f>
        <v>4</v>
      </c>
      <c r="E207">
        <f t="shared" si="10"/>
        <v>5</v>
      </c>
      <c r="F207">
        <f t="shared" si="10"/>
        <v>6</v>
      </c>
      <c r="G207">
        <f t="shared" si="10"/>
        <v>7</v>
      </c>
      <c r="H207">
        <f t="shared" si="10"/>
        <v>8</v>
      </c>
      <c r="I207">
        <f t="shared" si="10"/>
        <v>9</v>
      </c>
      <c r="J207">
        <f t="shared" si="10"/>
        <v>10</v>
      </c>
      <c r="K207">
        <f t="shared" si="10"/>
        <v>11</v>
      </c>
      <c r="L207">
        <f t="shared" si="10"/>
        <v>12</v>
      </c>
      <c r="N207">
        <v>2</v>
      </c>
      <c r="O207">
        <f>N207+1</f>
        <v>3</v>
      </c>
      <c r="P207">
        <f t="shared" ref="P207:X207" si="11">O207+1</f>
        <v>4</v>
      </c>
      <c r="Q207">
        <f t="shared" si="11"/>
        <v>5</v>
      </c>
      <c r="R207">
        <f t="shared" si="11"/>
        <v>6</v>
      </c>
      <c r="S207">
        <f t="shared" si="11"/>
        <v>7</v>
      </c>
      <c r="T207">
        <f t="shared" si="11"/>
        <v>8</v>
      </c>
      <c r="U207">
        <f t="shared" si="11"/>
        <v>9</v>
      </c>
      <c r="V207">
        <f t="shared" si="11"/>
        <v>10</v>
      </c>
      <c r="W207">
        <f t="shared" si="11"/>
        <v>11</v>
      </c>
      <c r="X207">
        <f t="shared" si="11"/>
        <v>12</v>
      </c>
      <c r="Z207">
        <v>2</v>
      </c>
      <c r="AA207">
        <f>Z207+1</f>
        <v>3</v>
      </c>
      <c r="AB207">
        <f t="shared" ref="AB207:AJ207" si="12">AA207+1</f>
        <v>4</v>
      </c>
      <c r="AC207">
        <f t="shared" si="12"/>
        <v>5</v>
      </c>
      <c r="AD207">
        <f t="shared" si="12"/>
        <v>6</v>
      </c>
      <c r="AE207">
        <f t="shared" si="12"/>
        <v>7</v>
      </c>
      <c r="AF207">
        <f t="shared" si="12"/>
        <v>8</v>
      </c>
      <c r="AG207">
        <f t="shared" si="12"/>
        <v>9</v>
      </c>
      <c r="AH207">
        <f t="shared" si="12"/>
        <v>10</v>
      </c>
      <c r="AI207">
        <f t="shared" si="12"/>
        <v>11</v>
      </c>
      <c r="AJ207">
        <f t="shared" si="12"/>
        <v>12</v>
      </c>
    </row>
  </sheetData>
  <mergeCells count="2">
    <mergeCell ref="B1:L1"/>
    <mergeCell ref="N1:X1"/>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A900"/>
  </sheetPr>
  <dimension ref="A1:M73"/>
  <sheetViews>
    <sheetView workbookViewId="0">
      <selection activeCell="E35" sqref="E35"/>
    </sheetView>
  </sheetViews>
  <sheetFormatPr defaultRowHeight="15" x14ac:dyDescent="0.25"/>
  <cols>
    <col min="1" max="1" width="32.5703125" bestFit="1" customWidth="1"/>
    <col min="2" max="2" width="5.140625" customWidth="1"/>
    <col min="3" max="3" width="13" customWidth="1"/>
    <col min="4" max="12" width="12.85546875" customWidth="1"/>
    <col min="13" max="13" width="15.85546875" customWidth="1"/>
  </cols>
  <sheetData>
    <row r="1" spans="1:13" ht="28.5" x14ac:dyDescent="0.45">
      <c r="A1" t="s">
        <v>381</v>
      </c>
      <c r="B1" s="390" t="s">
        <v>502</v>
      </c>
    </row>
    <row r="2" spans="1:13" ht="60.75" thickBot="1" x14ac:dyDescent="0.3">
      <c r="C2" s="67" t="s">
        <v>422</v>
      </c>
      <c r="D2" s="67" t="s">
        <v>404</v>
      </c>
      <c r="E2" s="67" t="s">
        <v>405</v>
      </c>
      <c r="F2" s="67" t="s">
        <v>406</v>
      </c>
      <c r="G2" s="67" t="s">
        <v>407</v>
      </c>
      <c r="H2" s="67" t="s">
        <v>408</v>
      </c>
      <c r="I2" s="67" t="s">
        <v>409</v>
      </c>
      <c r="J2" s="67" t="s">
        <v>410</v>
      </c>
      <c r="K2" s="67" t="s">
        <v>411</v>
      </c>
      <c r="L2" s="68" t="s">
        <v>412</v>
      </c>
      <c r="M2" s="67" t="s">
        <v>346</v>
      </c>
    </row>
    <row r="3" spans="1:13" x14ac:dyDescent="0.25">
      <c r="A3" s="88" t="s">
        <v>382</v>
      </c>
      <c r="B3" s="88"/>
      <c r="C3" s="88">
        <v>16592</v>
      </c>
      <c r="D3" s="88">
        <v>3.6162005785920926E-3</v>
      </c>
      <c r="E3" s="88">
        <v>2.4108003857280617E-3</v>
      </c>
      <c r="F3" s="88">
        <v>0</v>
      </c>
      <c r="G3" s="88">
        <v>1.4464802314368371E-3</v>
      </c>
      <c r="H3" s="88">
        <v>0</v>
      </c>
      <c r="I3" s="88">
        <v>0</v>
      </c>
      <c r="J3" s="88">
        <v>0</v>
      </c>
      <c r="K3" s="88"/>
      <c r="L3" s="89"/>
      <c r="M3" s="88">
        <f>SUM(D3:L3)</f>
        <v>7.473481195756991E-3</v>
      </c>
    </row>
    <row r="4" spans="1:13" x14ac:dyDescent="0.25">
      <c r="A4" s="88" t="s">
        <v>383</v>
      </c>
      <c r="B4" s="88"/>
      <c r="C4" s="88">
        <v>11049</v>
      </c>
      <c r="D4" s="88">
        <v>5.7018734727124626E-3</v>
      </c>
      <c r="E4" s="88">
        <v>0</v>
      </c>
      <c r="F4" s="88">
        <v>0</v>
      </c>
      <c r="G4" s="88">
        <v>0</v>
      </c>
      <c r="H4" s="88">
        <v>4.0727667662231876E-3</v>
      </c>
      <c r="I4" s="88">
        <v>0</v>
      </c>
      <c r="J4" s="88">
        <v>0</v>
      </c>
      <c r="K4" s="88"/>
      <c r="L4" s="89"/>
      <c r="M4" s="88">
        <f t="shared" ref="M4:M24" si="0">SUM(D4:L4)</f>
        <v>9.7746402389356501E-3</v>
      </c>
    </row>
    <row r="5" spans="1:13" x14ac:dyDescent="0.25">
      <c r="A5" s="88" t="s">
        <v>384</v>
      </c>
      <c r="B5" s="88"/>
      <c r="C5" s="88">
        <v>15344</v>
      </c>
      <c r="D5" s="88">
        <v>0</v>
      </c>
      <c r="E5" s="88">
        <v>0</v>
      </c>
      <c r="F5" s="88">
        <v>1.3034410844629822E-3</v>
      </c>
      <c r="G5" s="88">
        <v>0</v>
      </c>
      <c r="H5" s="88">
        <v>0</v>
      </c>
      <c r="I5" s="88">
        <v>0</v>
      </c>
      <c r="J5" s="88">
        <v>0</v>
      </c>
      <c r="K5" s="88"/>
      <c r="L5" s="89"/>
      <c r="M5" s="88">
        <f t="shared" si="0"/>
        <v>1.3034410844629822E-3</v>
      </c>
    </row>
    <row r="6" spans="1:13" x14ac:dyDescent="0.25">
      <c r="A6" s="88" t="s">
        <v>385</v>
      </c>
      <c r="B6" s="88"/>
      <c r="C6" s="88">
        <v>3424</v>
      </c>
      <c r="D6" s="88">
        <v>0</v>
      </c>
      <c r="E6" s="88">
        <v>0</v>
      </c>
      <c r="F6" s="88">
        <v>1.0514018691588784E-2</v>
      </c>
      <c r="G6" s="88">
        <v>0</v>
      </c>
      <c r="H6" s="88">
        <v>0</v>
      </c>
      <c r="I6" s="88">
        <v>0</v>
      </c>
      <c r="J6" s="88">
        <v>0</v>
      </c>
      <c r="K6" s="88"/>
      <c r="L6" s="89"/>
      <c r="M6" s="88">
        <f t="shared" si="0"/>
        <v>1.0514018691588784E-2</v>
      </c>
    </row>
    <row r="7" spans="1:13" x14ac:dyDescent="0.25">
      <c r="A7" s="88" t="s">
        <v>386</v>
      </c>
      <c r="B7" s="88"/>
      <c r="C7" s="88">
        <v>4550</v>
      </c>
      <c r="D7" s="88">
        <v>0</v>
      </c>
      <c r="E7" s="88">
        <v>0</v>
      </c>
      <c r="F7" s="88">
        <v>3.5164835164835165E-3</v>
      </c>
      <c r="G7" s="88">
        <v>0</v>
      </c>
      <c r="H7" s="88">
        <v>0</v>
      </c>
      <c r="I7" s="88">
        <v>0</v>
      </c>
      <c r="J7" s="88">
        <v>0</v>
      </c>
      <c r="K7" s="88"/>
      <c r="L7" s="89"/>
      <c r="M7" s="88">
        <f t="shared" si="0"/>
        <v>3.5164835164835165E-3</v>
      </c>
    </row>
    <row r="8" spans="1:13" x14ac:dyDescent="0.25">
      <c r="A8" s="88" t="s">
        <v>387</v>
      </c>
      <c r="B8" s="88"/>
      <c r="C8" s="88">
        <v>10640</v>
      </c>
      <c r="D8" s="88">
        <v>3.7593984962406013E-3</v>
      </c>
      <c r="E8" s="88">
        <v>0</v>
      </c>
      <c r="F8" s="88">
        <v>0</v>
      </c>
      <c r="G8" s="88">
        <v>0</v>
      </c>
      <c r="H8" s="88">
        <v>0</v>
      </c>
      <c r="I8" s="88">
        <v>0</v>
      </c>
      <c r="J8" s="88">
        <v>0</v>
      </c>
      <c r="K8" s="88"/>
      <c r="L8" s="89"/>
      <c r="M8" s="88">
        <f t="shared" si="0"/>
        <v>3.7593984962406013E-3</v>
      </c>
    </row>
    <row r="9" spans="1:13" x14ac:dyDescent="0.25">
      <c r="A9" s="88" t="s">
        <v>388</v>
      </c>
      <c r="B9" s="88"/>
      <c r="C9" s="88">
        <v>15035</v>
      </c>
      <c r="D9" s="88">
        <v>1.5962753574991686E-3</v>
      </c>
      <c r="E9" s="88">
        <v>0</v>
      </c>
      <c r="F9" s="88">
        <v>0</v>
      </c>
      <c r="G9" s="88">
        <v>0</v>
      </c>
      <c r="H9" s="88">
        <v>0</v>
      </c>
      <c r="I9" s="88">
        <v>0</v>
      </c>
      <c r="J9" s="88">
        <v>0</v>
      </c>
      <c r="K9" s="88"/>
      <c r="L9" s="89"/>
      <c r="M9" s="88">
        <f t="shared" si="0"/>
        <v>1.5962753574991686E-3</v>
      </c>
    </row>
    <row r="10" spans="1:13" x14ac:dyDescent="0.25">
      <c r="A10" s="88" t="s">
        <v>389</v>
      </c>
      <c r="B10" s="88"/>
      <c r="C10" s="88">
        <v>52900</v>
      </c>
      <c r="D10" s="88">
        <v>1.9848771266540643E-3</v>
      </c>
      <c r="E10" s="88">
        <v>0</v>
      </c>
      <c r="F10" s="88">
        <v>0</v>
      </c>
      <c r="G10" s="88">
        <v>9.4517958412098301E-4</v>
      </c>
      <c r="H10" s="88">
        <v>0</v>
      </c>
      <c r="I10" s="88">
        <v>6.6162570888468814E-4</v>
      </c>
      <c r="J10" s="88">
        <v>0</v>
      </c>
      <c r="K10" s="88"/>
      <c r="L10" s="89"/>
      <c r="M10" s="88">
        <f t="shared" si="0"/>
        <v>3.5916824196597355E-3</v>
      </c>
    </row>
    <row r="11" spans="1:13" x14ac:dyDescent="0.25">
      <c r="A11" s="88" t="s">
        <v>390</v>
      </c>
      <c r="B11" s="88"/>
      <c r="C11" s="88">
        <v>7056</v>
      </c>
      <c r="D11" s="88">
        <v>4.96031746031746E-3</v>
      </c>
      <c r="E11" s="88">
        <v>0</v>
      </c>
      <c r="F11" s="88">
        <v>0</v>
      </c>
      <c r="G11" s="88">
        <v>0</v>
      </c>
      <c r="H11" s="88">
        <v>0</v>
      </c>
      <c r="I11" s="88">
        <v>0</v>
      </c>
      <c r="J11" s="88">
        <v>0</v>
      </c>
      <c r="K11" s="88"/>
      <c r="L11" s="89"/>
      <c r="M11" s="88">
        <f t="shared" si="0"/>
        <v>4.96031746031746E-3</v>
      </c>
    </row>
    <row r="12" spans="1:13" x14ac:dyDescent="0.25">
      <c r="A12" s="88" t="s">
        <v>391</v>
      </c>
      <c r="B12" s="88"/>
      <c r="C12" s="88">
        <v>8704</v>
      </c>
      <c r="D12" s="88">
        <v>0</v>
      </c>
      <c r="E12" s="88">
        <v>0</v>
      </c>
      <c r="F12" s="88">
        <v>2.7573529411764708E-3</v>
      </c>
      <c r="G12" s="88">
        <v>7.3529411764705881E-3</v>
      </c>
      <c r="H12" s="88">
        <v>0</v>
      </c>
      <c r="I12" s="88">
        <v>0</v>
      </c>
      <c r="J12" s="88">
        <v>0</v>
      </c>
      <c r="K12" s="88"/>
      <c r="L12" s="89"/>
      <c r="M12" s="88">
        <f t="shared" si="0"/>
        <v>1.0110294117647059E-2</v>
      </c>
    </row>
    <row r="13" spans="1:13" x14ac:dyDescent="0.25">
      <c r="A13" s="88" t="s">
        <v>392</v>
      </c>
      <c r="B13" s="88"/>
      <c r="C13" s="88">
        <v>8084.3</v>
      </c>
      <c r="D13" s="88">
        <v>0</v>
      </c>
      <c r="E13" s="88">
        <v>0</v>
      </c>
      <c r="F13" s="88">
        <v>6.0611308338384276E-3</v>
      </c>
      <c r="G13" s="88">
        <v>0</v>
      </c>
      <c r="H13" s="88">
        <v>0</v>
      </c>
      <c r="I13" s="88">
        <v>0</v>
      </c>
      <c r="J13" s="88">
        <v>0</v>
      </c>
      <c r="K13" s="88"/>
      <c r="L13" s="89"/>
      <c r="M13" s="88">
        <f t="shared" si="0"/>
        <v>6.0611308338384276E-3</v>
      </c>
    </row>
    <row r="14" spans="1:13" x14ac:dyDescent="0.25">
      <c r="A14" s="88" t="s">
        <v>393</v>
      </c>
      <c r="B14" s="88"/>
      <c r="C14" s="88">
        <v>2376</v>
      </c>
      <c r="D14" s="88">
        <v>1.1784511784511785E-2</v>
      </c>
      <c r="E14" s="88">
        <v>0</v>
      </c>
      <c r="F14" s="88">
        <v>0</v>
      </c>
      <c r="G14" s="88">
        <v>3.2407407407407406E-2</v>
      </c>
      <c r="H14" s="88">
        <v>0</v>
      </c>
      <c r="I14" s="88">
        <v>0</v>
      </c>
      <c r="J14" s="88">
        <v>0</v>
      </c>
      <c r="K14" s="88"/>
      <c r="L14" s="89"/>
      <c r="M14" s="88">
        <f t="shared" si="0"/>
        <v>4.4191919191919192E-2</v>
      </c>
    </row>
    <row r="15" spans="1:13" x14ac:dyDescent="0.25">
      <c r="A15" s="88" t="s">
        <v>394</v>
      </c>
      <c r="B15" s="88"/>
      <c r="C15" s="88">
        <v>7104</v>
      </c>
      <c r="D15" s="88">
        <v>9.8536036036036036E-3</v>
      </c>
      <c r="E15" s="88">
        <v>0</v>
      </c>
      <c r="F15" s="88">
        <v>0</v>
      </c>
      <c r="G15" s="88">
        <v>0</v>
      </c>
      <c r="H15" s="88">
        <v>0</v>
      </c>
      <c r="I15" s="88">
        <v>0</v>
      </c>
      <c r="J15" s="88">
        <v>0</v>
      </c>
      <c r="K15" s="88"/>
      <c r="L15" s="89"/>
      <c r="M15" s="88">
        <f t="shared" si="0"/>
        <v>9.8536036036036036E-3</v>
      </c>
    </row>
    <row r="16" spans="1:13" x14ac:dyDescent="0.25">
      <c r="A16" s="88" t="s">
        <v>395</v>
      </c>
      <c r="B16" s="88"/>
      <c r="C16" s="88">
        <v>7910</v>
      </c>
      <c r="D16" s="88">
        <v>0</v>
      </c>
      <c r="E16" s="88">
        <v>3.0341340075853351E-3</v>
      </c>
      <c r="F16" s="88">
        <v>4.4500632111251583E-2</v>
      </c>
      <c r="G16" s="88">
        <v>0</v>
      </c>
      <c r="H16" s="88">
        <v>0</v>
      </c>
      <c r="I16" s="88">
        <v>0</v>
      </c>
      <c r="J16" s="88">
        <v>0</v>
      </c>
      <c r="K16" s="88"/>
      <c r="L16" s="89"/>
      <c r="M16" s="88">
        <f t="shared" si="0"/>
        <v>4.7534766118836919E-2</v>
      </c>
    </row>
    <row r="17" spans="1:13" x14ac:dyDescent="0.25">
      <c r="A17" t="s">
        <v>396</v>
      </c>
      <c r="C17">
        <v>14600</v>
      </c>
      <c r="D17">
        <v>0</v>
      </c>
      <c r="E17">
        <v>0</v>
      </c>
      <c r="F17">
        <v>0</v>
      </c>
      <c r="G17">
        <v>1.8493150684931506E-3</v>
      </c>
      <c r="H17">
        <v>0</v>
      </c>
      <c r="I17">
        <v>0</v>
      </c>
      <c r="J17">
        <v>0</v>
      </c>
      <c r="L17" s="66"/>
      <c r="M17">
        <f t="shared" si="0"/>
        <v>1.8493150684931506E-3</v>
      </c>
    </row>
    <row r="18" spans="1:13" x14ac:dyDescent="0.25">
      <c r="A18" t="s">
        <v>397</v>
      </c>
      <c r="C18">
        <v>15030</v>
      </c>
      <c r="D18">
        <v>4.6573519627411842E-3</v>
      </c>
      <c r="E18">
        <v>0</v>
      </c>
      <c r="F18">
        <v>0</v>
      </c>
      <c r="G18">
        <v>4.6573519627411842E-3</v>
      </c>
      <c r="H18">
        <v>0</v>
      </c>
      <c r="I18">
        <v>0</v>
      </c>
      <c r="J18">
        <v>0</v>
      </c>
      <c r="L18" s="66"/>
      <c r="M18">
        <f t="shared" si="0"/>
        <v>9.3147039254823684E-3</v>
      </c>
    </row>
    <row r="19" spans="1:13" x14ac:dyDescent="0.25">
      <c r="A19" t="s">
        <v>398</v>
      </c>
      <c r="C19">
        <v>7268</v>
      </c>
      <c r="D19">
        <v>0</v>
      </c>
      <c r="E19">
        <v>3.4397358282883873E-3</v>
      </c>
      <c r="F19">
        <v>2.1463951568519539E-2</v>
      </c>
      <c r="G19">
        <v>0</v>
      </c>
      <c r="H19">
        <v>0</v>
      </c>
      <c r="I19">
        <v>0</v>
      </c>
      <c r="J19">
        <v>0</v>
      </c>
      <c r="L19" s="66"/>
      <c r="M19">
        <f t="shared" si="0"/>
        <v>2.4903687396807928E-2</v>
      </c>
    </row>
    <row r="20" spans="1:13" x14ac:dyDescent="0.25">
      <c r="A20" t="s">
        <v>399</v>
      </c>
      <c r="C20">
        <v>175000</v>
      </c>
      <c r="D20">
        <v>1.8400000000000001E-3</v>
      </c>
      <c r="E20">
        <v>1.7142857142857143E-4</v>
      </c>
      <c r="F20">
        <v>0</v>
      </c>
      <c r="G20">
        <v>1.7142857142857143E-4</v>
      </c>
      <c r="H20">
        <v>2.0000000000000001E-4</v>
      </c>
      <c r="I20">
        <v>3.7714285714285714E-4</v>
      </c>
      <c r="J20">
        <v>8.8000000000000003E-4</v>
      </c>
      <c r="L20" s="66"/>
      <c r="M20">
        <f t="shared" si="0"/>
        <v>3.6400000000000004E-3</v>
      </c>
    </row>
    <row r="21" spans="1:13" x14ac:dyDescent="0.25">
      <c r="A21" t="s">
        <v>400</v>
      </c>
      <c r="C21">
        <v>3280</v>
      </c>
      <c r="D21">
        <v>0</v>
      </c>
      <c r="E21">
        <v>6.0975609756097563E-3</v>
      </c>
      <c r="F21">
        <v>6.8292682926829273E-2</v>
      </c>
      <c r="G21">
        <v>0</v>
      </c>
      <c r="H21">
        <v>0</v>
      </c>
      <c r="I21">
        <v>0</v>
      </c>
      <c r="J21">
        <v>0</v>
      </c>
      <c r="L21" s="66"/>
      <c r="M21">
        <f t="shared" si="0"/>
        <v>7.4390243902439035E-2</v>
      </c>
    </row>
    <row r="22" spans="1:13" x14ac:dyDescent="0.25">
      <c r="A22" t="s">
        <v>401</v>
      </c>
      <c r="C22">
        <v>8272</v>
      </c>
      <c r="D22">
        <v>0</v>
      </c>
      <c r="E22">
        <v>2.4177949709864605E-3</v>
      </c>
      <c r="F22">
        <v>3.2882011605415859E-2</v>
      </c>
      <c r="G22">
        <v>0</v>
      </c>
      <c r="H22">
        <v>0</v>
      </c>
      <c r="I22">
        <v>0</v>
      </c>
      <c r="J22">
        <v>0</v>
      </c>
      <c r="L22" s="66"/>
      <c r="M22">
        <f t="shared" si="0"/>
        <v>3.5299806576402318E-2</v>
      </c>
    </row>
    <row r="23" spans="1:13" x14ac:dyDescent="0.25">
      <c r="A23" t="s">
        <v>402</v>
      </c>
      <c r="C23">
        <v>52900</v>
      </c>
      <c r="D23">
        <v>5.7466918714555769E-3</v>
      </c>
      <c r="E23">
        <v>6.6162570888468814E-4</v>
      </c>
      <c r="F23">
        <v>0</v>
      </c>
      <c r="G23">
        <v>7.9867674858223061E-4</v>
      </c>
      <c r="H23">
        <v>0</v>
      </c>
      <c r="I23">
        <v>1.1909262759924385E-3</v>
      </c>
      <c r="J23">
        <v>0</v>
      </c>
      <c r="L23" s="66"/>
      <c r="M23">
        <f t="shared" si="0"/>
        <v>8.3979206049149338E-3</v>
      </c>
    </row>
    <row r="24" spans="1:13" x14ac:dyDescent="0.25">
      <c r="A24" t="s">
        <v>403</v>
      </c>
      <c r="C24">
        <v>5246</v>
      </c>
      <c r="D24" t="s">
        <v>413</v>
      </c>
      <c r="E24" t="s">
        <v>413</v>
      </c>
      <c r="F24" t="s">
        <v>413</v>
      </c>
      <c r="G24" t="s">
        <v>413</v>
      </c>
      <c r="H24" t="s">
        <v>413</v>
      </c>
      <c r="I24">
        <v>4.4033549370949297E-2</v>
      </c>
      <c r="J24">
        <v>5.2039649256576441E-2</v>
      </c>
      <c r="K24">
        <v>1.2390392680137247E-2</v>
      </c>
      <c r="L24" s="66">
        <v>6.2905070529927568E-3</v>
      </c>
      <c r="M24">
        <f t="shared" si="0"/>
        <v>0.11475409836065575</v>
      </c>
    </row>
    <row r="25" spans="1:13" x14ac:dyDescent="0.25">
      <c r="A25" s="75"/>
      <c r="B25" s="75"/>
      <c r="C25" s="75"/>
      <c r="D25" s="75"/>
      <c r="E25" s="75"/>
      <c r="F25" s="75"/>
      <c r="G25" s="75"/>
      <c r="H25" s="75"/>
      <c r="I25" s="75"/>
      <c r="J25" s="75"/>
      <c r="K25" s="75"/>
      <c r="L25" s="75"/>
      <c r="M25" s="75"/>
    </row>
    <row r="26" spans="1:13" x14ac:dyDescent="0.25">
      <c r="A26" t="s">
        <v>442</v>
      </c>
      <c r="C26">
        <v>175000</v>
      </c>
      <c r="D26">
        <v>1.8400000000000001E-3</v>
      </c>
      <c r="E26">
        <v>1.7142857142857143E-4</v>
      </c>
      <c r="F26">
        <v>0</v>
      </c>
      <c r="G26">
        <v>1.7142857142857143E-4</v>
      </c>
      <c r="H26">
        <v>2.0000000000000001E-4</v>
      </c>
      <c r="I26">
        <v>3.7714285714285714E-4</v>
      </c>
      <c r="J26">
        <v>8.8000000000000003E-4</v>
      </c>
      <c r="M26">
        <v>3.6400000000000004E-3</v>
      </c>
    </row>
    <row r="27" spans="1:13" x14ac:dyDescent="0.25">
      <c r="A27" t="s">
        <v>443</v>
      </c>
      <c r="C27">
        <v>5246</v>
      </c>
      <c r="I27">
        <v>4.4033549370949297E-2</v>
      </c>
      <c r="J27">
        <v>5.2039649256576441E-2</v>
      </c>
      <c r="K27">
        <v>1.2390392680137247E-2</v>
      </c>
      <c r="L27" s="66">
        <v>6.2905070529927568E-3</v>
      </c>
      <c r="M27">
        <f t="shared" ref="M27" si="1">SUM(D27:L27)</f>
        <v>0.11475409836065575</v>
      </c>
    </row>
    <row r="28" spans="1:13" x14ac:dyDescent="0.25">
      <c r="A28" t="s">
        <v>449</v>
      </c>
      <c r="C28">
        <v>52900</v>
      </c>
      <c r="D28">
        <v>5.7466918714555769E-3</v>
      </c>
      <c r="E28">
        <v>6.6162570888468814E-4</v>
      </c>
      <c r="F28">
        <v>0</v>
      </c>
      <c r="G28">
        <v>7.9867674858223061E-4</v>
      </c>
      <c r="H28">
        <v>0</v>
      </c>
      <c r="I28">
        <v>1.1909262759924385E-3</v>
      </c>
      <c r="J28">
        <v>0</v>
      </c>
      <c r="M28">
        <v>8.3979206049149338E-3</v>
      </c>
    </row>
    <row r="29" spans="1:13" x14ac:dyDescent="0.25">
      <c r="A29" t="s">
        <v>444</v>
      </c>
      <c r="C29">
        <f>AVERAGE(C3,C4,C8,C17,C18)</f>
        <v>13582.2</v>
      </c>
      <c r="D29">
        <f>AVERAGE(D3,D4,D8,D17,D18)</f>
        <v>3.546964902057268E-3</v>
      </c>
      <c r="E29">
        <f t="shared" ref="E29:M29" si="2">AVERAGE(E3,E4,E8,E17,E18)</f>
        <v>4.8216007714561236E-4</v>
      </c>
      <c r="F29">
        <f t="shared" si="2"/>
        <v>0</v>
      </c>
      <c r="G29">
        <f t="shared" si="2"/>
        <v>1.5906294525342343E-3</v>
      </c>
      <c r="H29">
        <f t="shared" si="2"/>
        <v>8.1455335324463751E-4</v>
      </c>
      <c r="I29">
        <f t="shared" si="2"/>
        <v>0</v>
      </c>
      <c r="J29">
        <f t="shared" si="2"/>
        <v>0</v>
      </c>
      <c r="K29" t="e">
        <f t="shared" si="2"/>
        <v>#DIV/0!</v>
      </c>
      <c r="L29" t="e">
        <f t="shared" si="2"/>
        <v>#DIV/0!</v>
      </c>
      <c r="M29">
        <f t="shared" si="2"/>
        <v>6.4343077849817517E-3</v>
      </c>
    </row>
    <row r="30" spans="1:13" x14ac:dyDescent="0.25">
      <c r="A30" t="s">
        <v>448</v>
      </c>
      <c r="C30">
        <v>52900</v>
      </c>
      <c r="D30">
        <v>1.9848771266540643E-3</v>
      </c>
      <c r="E30">
        <v>0</v>
      </c>
      <c r="F30">
        <v>0</v>
      </c>
      <c r="G30">
        <v>9.4517958412098301E-4</v>
      </c>
      <c r="H30">
        <v>0</v>
      </c>
      <c r="I30">
        <v>6.6162570888468814E-4</v>
      </c>
      <c r="J30">
        <v>0</v>
      </c>
      <c r="M30">
        <v>3.5916824196597355E-3</v>
      </c>
    </row>
    <row r="31" spans="1:13" x14ac:dyDescent="0.25">
      <c r="A31" t="s">
        <v>445</v>
      </c>
      <c r="C31" s="85">
        <f t="shared" ref="C31:J31" si="3">AVERAGE(C4,C5,C9,C10,C14,C17,C19,C20)</f>
        <v>36696.5</v>
      </c>
      <c r="D31" s="85">
        <f t="shared" si="3"/>
        <v>2.8634422176721849E-3</v>
      </c>
      <c r="E31" s="85">
        <f t="shared" si="3"/>
        <v>4.5139554996461985E-4</v>
      </c>
      <c r="F31" s="85">
        <f t="shared" si="3"/>
        <v>2.845924081622815E-3</v>
      </c>
      <c r="G31" s="85">
        <f t="shared" si="3"/>
        <v>4.4216663289312645E-3</v>
      </c>
      <c r="H31" s="85">
        <f t="shared" si="3"/>
        <v>5.340958457778984E-4</v>
      </c>
      <c r="I31" s="85">
        <f t="shared" si="3"/>
        <v>1.2984607075344317E-4</v>
      </c>
      <c r="J31" s="85">
        <f t="shared" si="3"/>
        <v>1.1E-4</v>
      </c>
      <c r="M31" s="85">
        <f t="shared" ref="M31" si="4">AVERAGE(M4,M5,M9,M10,M14,M17,M19,M20)</f>
        <v>1.1356370094722228E-2</v>
      </c>
    </row>
    <row r="32" spans="1:13" x14ac:dyDescent="0.25">
      <c r="A32" t="s">
        <v>446</v>
      </c>
      <c r="C32" s="85">
        <f t="shared" ref="C32:J32" si="5">AVERAGE(C5,C6,C10,C11,C15,C18,C20,C21)</f>
        <v>34892.25</v>
      </c>
      <c r="D32" s="85">
        <f t="shared" si="5"/>
        <v>2.9120187691645391E-3</v>
      </c>
      <c r="E32" s="85">
        <f t="shared" si="5"/>
        <v>7.8362369337979098E-4</v>
      </c>
      <c r="F32" s="85">
        <f t="shared" si="5"/>
        <v>1.001376783786013E-2</v>
      </c>
      <c r="G32" s="85">
        <f t="shared" si="5"/>
        <v>7.2174501478634238E-4</v>
      </c>
      <c r="H32" s="85">
        <f t="shared" si="5"/>
        <v>2.5000000000000001E-5</v>
      </c>
      <c r="I32" s="85">
        <f t="shared" si="5"/>
        <v>1.2984607075344317E-4</v>
      </c>
      <c r="J32" s="85">
        <f t="shared" si="5"/>
        <v>1.1E-4</v>
      </c>
      <c r="M32" s="85">
        <f t="shared" ref="M32" si="6">AVERAGE(M5,M6,M10,M11,M15,M18,M20,M21)</f>
        <v>1.4696001385944246E-2</v>
      </c>
    </row>
    <row r="33" spans="1:13" x14ac:dyDescent="0.25">
      <c r="A33" t="s">
        <v>447</v>
      </c>
      <c r="C33">
        <f>AVERAGE(C6,C7,C11,C12,C16,C19,C21,C22)</f>
        <v>6308</v>
      </c>
      <c r="D33">
        <v>0</v>
      </c>
      <c r="E33">
        <f t="shared" ref="E33:M33" si="7">AVERAGE(E6,E7,E11,E12,E16,E19,E21,E22)</f>
        <v>1.8736532228087425E-3</v>
      </c>
      <c r="F33">
        <f t="shared" si="7"/>
        <v>2.299089167015813E-2</v>
      </c>
      <c r="G33">
        <f t="shared" si="7"/>
        <v>9.1911764705882352E-4</v>
      </c>
      <c r="H33">
        <f t="shared" si="7"/>
        <v>0</v>
      </c>
      <c r="I33">
        <f t="shared" si="7"/>
        <v>0</v>
      </c>
      <c r="J33">
        <f t="shared" si="7"/>
        <v>0</v>
      </c>
      <c r="K33" t="e">
        <f t="shared" si="7"/>
        <v>#DIV/0!</v>
      </c>
      <c r="L33" t="e">
        <f t="shared" si="7"/>
        <v>#DIV/0!</v>
      </c>
      <c r="M33">
        <f t="shared" si="7"/>
        <v>2.6403702222565377E-2</v>
      </c>
    </row>
    <row r="34" spans="1:13" x14ac:dyDescent="0.25">
      <c r="A34" t="s">
        <v>86</v>
      </c>
    </row>
    <row r="38" spans="1:13" x14ac:dyDescent="0.25">
      <c r="A38" t="s">
        <v>426</v>
      </c>
      <c r="C38">
        <v>1.8</v>
      </c>
    </row>
    <row r="40" spans="1:13" ht="75" x14ac:dyDescent="0.25">
      <c r="C40" s="48" t="s">
        <v>455</v>
      </c>
      <c r="D40" s="48" t="s">
        <v>456</v>
      </c>
      <c r="E40" s="48" t="s">
        <v>457</v>
      </c>
      <c r="F40" s="48" t="s">
        <v>458</v>
      </c>
    </row>
    <row r="41" spans="1:13" x14ac:dyDescent="0.25">
      <c r="A41" t="s">
        <v>382</v>
      </c>
      <c r="C41">
        <v>240000</v>
      </c>
      <c r="E41">
        <v>48000</v>
      </c>
    </row>
    <row r="42" spans="1:13" x14ac:dyDescent="0.25">
      <c r="A42" t="s">
        <v>383</v>
      </c>
      <c r="C42">
        <v>240000</v>
      </c>
      <c r="E42">
        <v>60000</v>
      </c>
    </row>
    <row r="43" spans="1:13" x14ac:dyDescent="0.25">
      <c r="A43" t="s">
        <v>384</v>
      </c>
      <c r="C43">
        <v>30000</v>
      </c>
      <c r="E43">
        <v>0</v>
      </c>
    </row>
    <row r="44" spans="1:13" x14ac:dyDescent="0.25">
      <c r="A44" t="s">
        <v>385</v>
      </c>
      <c r="C44">
        <v>30000</v>
      </c>
      <c r="E44">
        <v>12000</v>
      </c>
    </row>
    <row r="45" spans="1:13" x14ac:dyDescent="0.25">
      <c r="A45" t="s">
        <v>386</v>
      </c>
      <c r="C45">
        <v>60000</v>
      </c>
      <c r="E45">
        <v>3000</v>
      </c>
    </row>
    <row r="46" spans="1:13" x14ac:dyDescent="0.25">
      <c r="A46" t="s">
        <v>387</v>
      </c>
      <c r="C46">
        <v>84000</v>
      </c>
      <c r="E46">
        <v>0</v>
      </c>
    </row>
    <row r="47" spans="1:13" x14ac:dyDescent="0.25">
      <c r="A47" t="s">
        <v>388</v>
      </c>
      <c r="C47">
        <v>72000</v>
      </c>
      <c r="E47">
        <v>48000</v>
      </c>
    </row>
    <row r="48" spans="1:13" x14ac:dyDescent="0.25">
      <c r="A48" t="s">
        <v>389</v>
      </c>
      <c r="C48">
        <v>480000</v>
      </c>
      <c r="E48">
        <v>180000</v>
      </c>
    </row>
    <row r="49" spans="1:6" x14ac:dyDescent="0.25">
      <c r="A49" t="s">
        <v>390</v>
      </c>
      <c r="C49">
        <v>54000</v>
      </c>
      <c r="E49">
        <v>60000</v>
      </c>
    </row>
    <row r="50" spans="1:6" x14ac:dyDescent="0.25">
      <c r="A50" t="s">
        <v>391</v>
      </c>
      <c r="C50">
        <v>36000</v>
      </c>
      <c r="E50">
        <v>9000</v>
      </c>
    </row>
    <row r="51" spans="1:6" x14ac:dyDescent="0.25">
      <c r="A51" t="s">
        <v>392</v>
      </c>
      <c r="C51">
        <v>0</v>
      </c>
      <c r="E51">
        <v>12000</v>
      </c>
    </row>
    <row r="52" spans="1:6" x14ac:dyDescent="0.25">
      <c r="A52" t="s">
        <v>393</v>
      </c>
      <c r="C52">
        <v>30000</v>
      </c>
      <c r="E52">
        <v>14400</v>
      </c>
    </row>
    <row r="53" spans="1:6" x14ac:dyDescent="0.25">
      <c r="A53" t="s">
        <v>394</v>
      </c>
      <c r="C53">
        <v>96000</v>
      </c>
      <c r="E53">
        <v>18000</v>
      </c>
    </row>
    <row r="54" spans="1:6" x14ac:dyDescent="0.25">
      <c r="A54" t="s">
        <v>395</v>
      </c>
      <c r="C54">
        <v>96000</v>
      </c>
      <c r="E54">
        <v>0</v>
      </c>
    </row>
    <row r="55" spans="1:6" x14ac:dyDescent="0.25">
      <c r="A55" t="s">
        <v>396</v>
      </c>
      <c r="C55">
        <v>432000</v>
      </c>
      <c r="E55">
        <v>7200</v>
      </c>
    </row>
    <row r="56" spans="1:6" x14ac:dyDescent="0.25">
      <c r="A56" t="s">
        <v>397</v>
      </c>
      <c r="C56">
        <v>144000</v>
      </c>
      <c r="E56">
        <v>0</v>
      </c>
    </row>
    <row r="57" spans="1:6" x14ac:dyDescent="0.25">
      <c r="A57" t="s">
        <v>398</v>
      </c>
      <c r="C57">
        <v>0</v>
      </c>
      <c r="E57">
        <v>0</v>
      </c>
    </row>
    <row r="58" spans="1:6" x14ac:dyDescent="0.25">
      <c r="A58" t="s">
        <v>399</v>
      </c>
      <c r="C58">
        <v>6840000</v>
      </c>
      <c r="E58">
        <v>240000</v>
      </c>
    </row>
    <row r="59" spans="1:6" x14ac:dyDescent="0.25">
      <c r="A59" t="s">
        <v>400</v>
      </c>
      <c r="C59">
        <v>72000</v>
      </c>
      <c r="E59">
        <v>3000</v>
      </c>
    </row>
    <row r="60" spans="1:6" x14ac:dyDescent="0.25">
      <c r="A60" t="s">
        <v>401</v>
      </c>
      <c r="C60">
        <v>108000</v>
      </c>
      <c r="E60">
        <v>0</v>
      </c>
    </row>
    <row r="61" spans="1:6" x14ac:dyDescent="0.25">
      <c r="A61" t="s">
        <v>402</v>
      </c>
      <c r="C61">
        <v>840000</v>
      </c>
      <c r="E61">
        <v>480000</v>
      </c>
    </row>
    <row r="62" spans="1:6" x14ac:dyDescent="0.25">
      <c r="A62" t="s">
        <v>403</v>
      </c>
      <c r="C62" s="85">
        <v>480000</v>
      </c>
      <c r="E62" s="85">
        <v>180000</v>
      </c>
    </row>
    <row r="64" spans="1:6" x14ac:dyDescent="0.25">
      <c r="A64" s="75"/>
      <c r="B64" s="75"/>
      <c r="C64" s="75"/>
      <c r="D64" s="75"/>
      <c r="E64" s="75"/>
      <c r="F64" s="75"/>
    </row>
    <row r="65" spans="1:6" x14ac:dyDescent="0.25">
      <c r="A65" t="s">
        <v>442</v>
      </c>
      <c r="C65">
        <v>6840000</v>
      </c>
      <c r="D65" s="76">
        <f>IFERROR(C65/'Set up'!$C$9,"")</f>
        <v>67322.834645669296</v>
      </c>
      <c r="E65">
        <v>240000</v>
      </c>
      <c r="F65" s="76">
        <f>IFERROR(E65/'Set up'!$C$9,"")</f>
        <v>2362.2047244094488</v>
      </c>
    </row>
    <row r="66" spans="1:6" x14ac:dyDescent="0.25">
      <c r="A66" t="s">
        <v>443</v>
      </c>
      <c r="C66" s="85">
        <v>480000</v>
      </c>
      <c r="D66" s="76">
        <f>IFERROR(C66/'Set up'!$C$9,"")</f>
        <v>4724.4094488188975</v>
      </c>
      <c r="E66" s="85">
        <v>180000</v>
      </c>
      <c r="F66" s="76">
        <f>IFERROR(E66/'Set up'!$C$9,"")</f>
        <v>1771.6535433070867</v>
      </c>
    </row>
    <row r="67" spans="1:6" x14ac:dyDescent="0.25">
      <c r="A67" t="s">
        <v>449</v>
      </c>
      <c r="C67">
        <v>840000</v>
      </c>
      <c r="D67" s="76">
        <f>IFERROR(C67/'Set up'!$C$9,"")</f>
        <v>8267.7165354330718</v>
      </c>
      <c r="E67">
        <v>480000</v>
      </c>
      <c r="F67" s="76">
        <f>IFERROR(E67/'Set up'!$C$9,"")</f>
        <v>4724.4094488188975</v>
      </c>
    </row>
    <row r="68" spans="1:6" x14ac:dyDescent="0.25">
      <c r="A68" t="s">
        <v>444</v>
      </c>
      <c r="C68">
        <f>AVERAGE(C41,C42,C46,C55,C56)</f>
        <v>228000</v>
      </c>
      <c r="D68" s="76">
        <f>IFERROR(C68/'Set up'!$C$9,"")</f>
        <v>2244.0944881889764</v>
      </c>
      <c r="E68">
        <f>AVERAGE(E41,E42,E46,E55,E56)</f>
        <v>23040</v>
      </c>
      <c r="F68" s="76">
        <f>IFERROR(E68/'Set up'!$C$9,"")</f>
        <v>226.77165354330711</v>
      </c>
    </row>
    <row r="69" spans="1:6" x14ac:dyDescent="0.25">
      <c r="A69" t="s">
        <v>448</v>
      </c>
      <c r="C69">
        <v>480000</v>
      </c>
      <c r="D69" s="76">
        <f>IFERROR(C69/'Set up'!$C$9,"")</f>
        <v>4724.4094488188975</v>
      </c>
      <c r="E69">
        <v>180000</v>
      </c>
      <c r="F69" s="76">
        <f>IFERROR(E69/'Set up'!$C$9,"")</f>
        <v>1771.6535433070867</v>
      </c>
    </row>
    <row r="70" spans="1:6" x14ac:dyDescent="0.25">
      <c r="A70" t="s">
        <v>445</v>
      </c>
      <c r="D70" s="76">
        <f>IFERROR(C70/'Set up'!$C$9,"")</f>
        <v>0</v>
      </c>
      <c r="F70" s="76">
        <f>IFERROR(E70/'Set up'!$C$9,"")</f>
        <v>0</v>
      </c>
    </row>
    <row r="71" spans="1:6" x14ac:dyDescent="0.25">
      <c r="A71" t="s">
        <v>446</v>
      </c>
      <c r="D71" s="76">
        <f>IFERROR(C71/'Set up'!$C$9,"")</f>
        <v>0</v>
      </c>
      <c r="F71" s="76">
        <f>IFERROR(E71/'Set up'!$C$9,"")</f>
        <v>0</v>
      </c>
    </row>
    <row r="72" spans="1:6" x14ac:dyDescent="0.25">
      <c r="A72" t="s">
        <v>447</v>
      </c>
      <c r="C72">
        <f>AVERAGE(C44,C45,C49,C50,C54,C57,C59,C60)</f>
        <v>57000</v>
      </c>
      <c r="D72" s="76">
        <f>IFERROR(C72/'Set up'!$C$9,"")</f>
        <v>561.02362204724409</v>
      </c>
      <c r="E72">
        <f>AVERAGE(E44,E45,E49,E50,E54,E57,E59,E60)</f>
        <v>10875</v>
      </c>
      <c r="F72" s="76">
        <f>IFERROR(E72/'Set up'!$C$9,"")</f>
        <v>107.03740157480316</v>
      </c>
    </row>
    <row r="73" spans="1:6" x14ac:dyDescent="0.25">
      <c r="A73" t="s">
        <v>86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1D81"/>
  </sheetPr>
  <dimension ref="B1:N29"/>
  <sheetViews>
    <sheetView showGridLines="0" workbookViewId="0">
      <selection activeCell="B4" sqref="B4"/>
    </sheetView>
  </sheetViews>
  <sheetFormatPr defaultRowHeight="15" x14ac:dyDescent="0.25"/>
  <cols>
    <col min="1" max="1" width="4.5703125" style="391" customWidth="1"/>
    <col min="2" max="2" width="10" style="391" customWidth="1"/>
    <col min="3" max="12" width="9.140625" style="391"/>
    <col min="13" max="13" width="14.140625" style="391" customWidth="1"/>
    <col min="14" max="16384" width="9.140625" style="391"/>
  </cols>
  <sheetData>
    <row r="1" spans="2:14" ht="19.899999999999999" customHeight="1" thickBot="1" x14ac:dyDescent="0.3">
      <c r="B1" s="431" t="s">
        <v>203</v>
      </c>
      <c r="C1" s="432"/>
      <c r="D1" s="432"/>
      <c r="E1" s="432"/>
      <c r="F1" s="432"/>
      <c r="G1" s="432"/>
      <c r="H1" s="432"/>
      <c r="I1" s="432"/>
      <c r="J1" s="394"/>
      <c r="K1" s="394"/>
      <c r="L1" s="394"/>
      <c r="M1" s="395"/>
    </row>
    <row r="3" spans="2:14" x14ac:dyDescent="0.25">
      <c r="B3" s="391" t="s">
        <v>536</v>
      </c>
    </row>
    <row r="5" spans="2:14" ht="72" customHeight="1" x14ac:dyDescent="0.25">
      <c r="B5" s="430" t="s">
        <v>497</v>
      </c>
      <c r="C5" s="430"/>
      <c r="D5" s="430"/>
      <c r="E5" s="430"/>
      <c r="F5" s="430"/>
      <c r="G5" s="430"/>
      <c r="H5" s="430"/>
      <c r="I5" s="430"/>
      <c r="J5" s="430"/>
      <c r="K5" s="430"/>
      <c r="L5" s="430"/>
      <c r="M5" s="430"/>
      <c r="N5" s="396"/>
    </row>
    <row r="7" spans="2:14" ht="28.9" customHeight="1" x14ac:dyDescent="0.25">
      <c r="B7" s="430" t="s">
        <v>202</v>
      </c>
      <c r="C7" s="430"/>
      <c r="D7" s="430"/>
      <c r="E7" s="430"/>
      <c r="F7" s="430"/>
      <c r="G7" s="430"/>
      <c r="H7" s="430"/>
      <c r="I7" s="430"/>
      <c r="J7" s="430"/>
      <c r="K7" s="430"/>
      <c r="L7" s="430"/>
      <c r="M7" s="430"/>
    </row>
    <row r="8" spans="2:14" x14ac:dyDescent="0.25">
      <c r="B8" s="433" t="s">
        <v>1</v>
      </c>
      <c r="C8" s="433"/>
      <c r="D8" s="433"/>
      <c r="E8" s="433"/>
      <c r="F8" s="433"/>
    </row>
    <row r="9" spans="2:14" x14ac:dyDescent="0.25">
      <c r="B9" s="434" t="s">
        <v>2</v>
      </c>
      <c r="C9" s="434"/>
      <c r="D9" s="434"/>
      <c r="E9" s="434"/>
      <c r="F9" s="434"/>
    </row>
    <row r="10" spans="2:14" x14ac:dyDescent="0.25">
      <c r="B10" s="428" t="s">
        <v>3</v>
      </c>
      <c r="C10" s="428"/>
      <c r="D10" s="428"/>
      <c r="E10" s="428"/>
      <c r="F10" s="428"/>
    </row>
    <row r="11" spans="2:14" x14ac:dyDescent="0.25">
      <c r="B11" s="501"/>
      <c r="C11" s="501"/>
      <c r="D11" s="501"/>
      <c r="E11" s="501"/>
      <c r="F11" s="501"/>
    </row>
    <row r="12" spans="2:14" ht="15.75" thickBot="1" x14ac:dyDescent="0.3">
      <c r="B12" s="397" t="s">
        <v>204</v>
      </c>
      <c r="C12" s="398"/>
      <c r="D12" s="398"/>
      <c r="E12" s="398"/>
      <c r="F12" s="398"/>
      <c r="G12" s="398"/>
      <c r="H12" s="398"/>
      <c r="I12" s="398"/>
      <c r="J12" s="398"/>
      <c r="K12" s="398"/>
      <c r="L12" s="398"/>
      <c r="M12" s="398"/>
    </row>
    <row r="13" spans="2:14" ht="335.25" customHeight="1" thickTop="1" x14ac:dyDescent="0.25">
      <c r="B13" s="429" t="s">
        <v>498</v>
      </c>
      <c r="C13" s="429"/>
      <c r="D13" s="429"/>
      <c r="E13" s="429"/>
      <c r="F13" s="429"/>
      <c r="G13" s="429"/>
      <c r="H13" s="429"/>
      <c r="I13" s="429"/>
      <c r="J13" s="429"/>
      <c r="K13" s="429"/>
      <c r="L13" s="429"/>
      <c r="M13" s="429"/>
    </row>
    <row r="14" spans="2:14" ht="6" customHeight="1" x14ac:dyDescent="0.25"/>
    <row r="15" spans="2:14" ht="15.75" thickBot="1" x14ac:dyDescent="0.3">
      <c r="B15" s="397" t="s">
        <v>205</v>
      </c>
      <c r="C15" s="398"/>
      <c r="D15" s="398"/>
      <c r="E15" s="398"/>
      <c r="F15" s="398"/>
      <c r="G15" s="398"/>
      <c r="H15" s="398"/>
      <c r="I15" s="398"/>
      <c r="J15" s="398"/>
      <c r="K15" s="398"/>
      <c r="L15" s="398"/>
      <c r="M15" s="398"/>
    </row>
    <row r="16" spans="2:14" ht="139.5" customHeight="1" thickTop="1" x14ac:dyDescent="0.25">
      <c r="B16" s="429" t="s">
        <v>499</v>
      </c>
      <c r="C16" s="429"/>
      <c r="D16" s="429"/>
      <c r="E16" s="429"/>
      <c r="F16" s="429"/>
      <c r="G16" s="429"/>
      <c r="H16" s="429"/>
      <c r="I16" s="429"/>
      <c r="J16" s="429"/>
      <c r="K16" s="429"/>
      <c r="L16" s="429"/>
      <c r="M16" s="429"/>
    </row>
    <row r="17" spans="2:13" ht="4.1500000000000004" customHeight="1" x14ac:dyDescent="0.25"/>
    <row r="18" spans="2:13" ht="15.75" thickBot="1" x14ac:dyDescent="0.3">
      <c r="B18" s="397" t="s">
        <v>380</v>
      </c>
      <c r="C18" s="398"/>
      <c r="D18" s="398"/>
      <c r="E18" s="398"/>
      <c r="F18" s="398"/>
      <c r="G18" s="398"/>
      <c r="H18" s="398"/>
      <c r="I18" s="398"/>
      <c r="J18" s="398"/>
      <c r="K18" s="398"/>
      <c r="L18" s="398"/>
      <c r="M18" s="398"/>
    </row>
    <row r="19" spans="2:13" ht="154.9" customHeight="1" thickTop="1" x14ac:dyDescent="0.25">
      <c r="B19" s="429" t="s">
        <v>500</v>
      </c>
      <c r="C19" s="429"/>
      <c r="D19" s="429"/>
      <c r="E19" s="429"/>
      <c r="F19" s="429"/>
      <c r="G19" s="429"/>
      <c r="H19" s="429"/>
      <c r="I19" s="429"/>
      <c r="J19" s="429"/>
      <c r="K19" s="429"/>
      <c r="L19" s="429"/>
      <c r="M19" s="429"/>
    </row>
    <row r="20" spans="2:13" ht="5.45" customHeight="1" x14ac:dyDescent="0.25"/>
    <row r="21" spans="2:13" ht="15.75" thickBot="1" x14ac:dyDescent="0.3">
      <c r="B21" s="397" t="s">
        <v>89</v>
      </c>
      <c r="C21" s="398"/>
      <c r="D21" s="398"/>
      <c r="E21" s="398"/>
      <c r="F21" s="398"/>
      <c r="G21" s="398"/>
      <c r="H21" s="398"/>
      <c r="I21" s="398"/>
      <c r="J21" s="398"/>
      <c r="K21" s="398"/>
      <c r="L21" s="398"/>
      <c r="M21" s="398"/>
    </row>
    <row r="22" spans="2:13" ht="132.6" customHeight="1" thickTop="1" x14ac:dyDescent="0.25">
      <c r="B22" s="427" t="s">
        <v>463</v>
      </c>
      <c r="C22" s="427"/>
      <c r="D22" s="427"/>
      <c r="E22" s="427"/>
      <c r="F22" s="427"/>
      <c r="G22" s="427"/>
      <c r="H22" s="427"/>
      <c r="I22" s="427"/>
      <c r="J22" s="427"/>
      <c r="K22" s="427"/>
      <c r="L22" s="427"/>
      <c r="M22" s="427"/>
    </row>
    <row r="23" spans="2:13" ht="13.9" customHeight="1" thickBot="1" x14ac:dyDescent="0.3">
      <c r="B23" s="397" t="s">
        <v>207</v>
      </c>
      <c r="C23" s="398"/>
      <c r="D23" s="398"/>
      <c r="E23" s="398"/>
      <c r="F23" s="398"/>
      <c r="G23" s="398"/>
      <c r="H23" s="398"/>
      <c r="I23" s="398"/>
      <c r="J23" s="398"/>
      <c r="K23" s="398"/>
      <c r="L23" s="398"/>
      <c r="M23" s="398"/>
    </row>
    <row r="24" spans="2:13" ht="279" customHeight="1" thickTop="1" x14ac:dyDescent="0.25">
      <c r="B24" s="427" t="s">
        <v>501</v>
      </c>
      <c r="C24" s="427"/>
      <c r="D24" s="427"/>
      <c r="E24" s="427"/>
      <c r="F24" s="427"/>
      <c r="G24" s="427"/>
      <c r="H24" s="427"/>
      <c r="I24" s="427"/>
      <c r="J24" s="427"/>
      <c r="K24" s="427"/>
      <c r="L24" s="427"/>
      <c r="M24" s="427"/>
    </row>
    <row r="25" spans="2:13" ht="28.9" customHeight="1" thickBot="1" x14ac:dyDescent="0.3">
      <c r="B25" s="397" t="s">
        <v>206</v>
      </c>
      <c r="C25" s="398"/>
      <c r="D25" s="398"/>
      <c r="E25" s="398"/>
      <c r="F25" s="398"/>
      <c r="G25" s="398"/>
      <c r="H25" s="398"/>
      <c r="I25" s="398"/>
      <c r="J25" s="398"/>
      <c r="K25" s="398"/>
      <c r="L25" s="398"/>
      <c r="M25" s="398"/>
    </row>
    <row r="26" spans="2:13" ht="105" customHeight="1" thickTop="1" x14ac:dyDescent="0.25">
      <c r="B26" s="427" t="s">
        <v>436</v>
      </c>
      <c r="C26" s="427"/>
      <c r="D26" s="427"/>
      <c r="E26" s="427"/>
      <c r="F26" s="427"/>
      <c r="G26" s="427"/>
      <c r="H26" s="427"/>
      <c r="I26" s="427"/>
      <c r="J26" s="427"/>
      <c r="K26" s="427"/>
      <c r="L26" s="427"/>
      <c r="M26" s="427"/>
    </row>
    <row r="27" spans="2:13" ht="6.6" customHeight="1" x14ac:dyDescent="0.25"/>
    <row r="28" spans="2:13" x14ac:dyDescent="0.25">
      <c r="C28" s="399"/>
      <c r="D28" s="399"/>
      <c r="E28" s="399"/>
      <c r="F28" s="399"/>
      <c r="G28" s="399"/>
      <c r="H28" s="399"/>
      <c r="I28" s="399"/>
      <c r="J28" s="399"/>
      <c r="K28" s="399"/>
      <c r="L28" s="399"/>
      <c r="M28" s="399"/>
    </row>
    <row r="29" spans="2:13" ht="181.15" customHeight="1" x14ac:dyDescent="0.25">
      <c r="B29" s="427"/>
      <c r="C29" s="427"/>
      <c r="D29" s="427"/>
      <c r="E29" s="427"/>
      <c r="F29" s="427"/>
      <c r="G29" s="427"/>
      <c r="H29" s="427"/>
      <c r="I29" s="427"/>
      <c r="J29" s="427"/>
      <c r="K29" s="427"/>
      <c r="L29" s="427"/>
      <c r="M29" s="427"/>
    </row>
  </sheetData>
  <sheetProtection password="C441" sheet="1" objects="1" scenarios="1"/>
  <mergeCells count="14">
    <mergeCell ref="B5:M5"/>
    <mergeCell ref="B1:I1"/>
    <mergeCell ref="B7:M7"/>
    <mergeCell ref="B8:F8"/>
    <mergeCell ref="B9:F9"/>
    <mergeCell ref="B26:M26"/>
    <mergeCell ref="B29:M29"/>
    <mergeCell ref="B10:F10"/>
    <mergeCell ref="B13:M13"/>
    <mergeCell ref="B16:M16"/>
    <mergeCell ref="B19:M19"/>
    <mergeCell ref="B22:M22"/>
    <mergeCell ref="B24:M24"/>
    <mergeCell ref="B11:F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291D81"/>
  </sheetPr>
  <dimension ref="A1:G72"/>
  <sheetViews>
    <sheetView showGridLines="0" zoomScale="90" zoomScaleNormal="90" workbookViewId="0">
      <selection activeCell="B39" sqref="B39"/>
    </sheetView>
  </sheetViews>
  <sheetFormatPr defaultRowHeight="15" x14ac:dyDescent="0.25"/>
  <cols>
    <col min="1" max="1" width="5.7109375" customWidth="1"/>
    <col min="2" max="2" width="74.42578125" customWidth="1"/>
    <col min="3" max="3" width="11" bestFit="1" customWidth="1"/>
    <col min="4" max="4" width="12" customWidth="1"/>
    <col min="5" max="5" width="11.28515625" customWidth="1"/>
    <col min="6" max="6" width="16.5703125" customWidth="1"/>
  </cols>
  <sheetData>
    <row r="1" spans="1:7" ht="15.75" thickBot="1" x14ac:dyDescent="0.3">
      <c r="A1" t="s">
        <v>120</v>
      </c>
      <c r="B1" s="14" t="s">
        <v>99</v>
      </c>
    </row>
    <row r="2" spans="1:7" x14ac:dyDescent="0.25">
      <c r="B2" s="32" t="s">
        <v>1</v>
      </c>
      <c r="C2" s="420"/>
      <c r="D2" s="30"/>
      <c r="E2" s="30"/>
    </row>
    <row r="3" spans="1:7" x14ac:dyDescent="0.25">
      <c r="B3" s="2" t="s">
        <v>2</v>
      </c>
    </row>
    <row r="4" spans="1:7" ht="14.45" customHeight="1" thickBot="1" x14ac:dyDescent="0.3">
      <c r="A4" s="31"/>
      <c r="B4" s="3" t="s">
        <v>3</v>
      </c>
      <c r="C4" s="17"/>
    </row>
    <row r="5" spans="1:7" s="30" customFormat="1" x14ac:dyDescent="0.25">
      <c r="A5" s="27"/>
      <c r="B5" s="27"/>
      <c r="C5" s="28"/>
      <c r="D5" s="29"/>
      <c r="E5" s="19"/>
    </row>
    <row r="6" spans="1:7" s="30" customFormat="1" x14ac:dyDescent="0.25">
      <c r="A6" s="27"/>
      <c r="B6" s="27"/>
      <c r="C6" s="28"/>
      <c r="D6" s="29"/>
      <c r="E6" s="29"/>
    </row>
    <row r="7" spans="1:7" s="30" customFormat="1" x14ac:dyDescent="0.25">
      <c r="A7" s="27"/>
      <c r="B7" s="35" t="s">
        <v>166</v>
      </c>
      <c r="C7" s="33" t="s">
        <v>128</v>
      </c>
      <c r="D7" s="21"/>
      <c r="E7" s="22"/>
      <c r="F7" s="22"/>
      <c r="G7"/>
    </row>
    <row r="8" spans="1:7" s="30" customFormat="1" x14ac:dyDescent="0.25">
      <c r="A8" s="27"/>
      <c r="B8" s="35" t="s">
        <v>167</v>
      </c>
      <c r="C8" s="20" t="str">
        <f>VLOOKUP(C7,'Drop Down Master List'!A3:B17,2,)</f>
        <v>KES</v>
      </c>
      <c r="D8" s="21"/>
      <c r="E8" s="22"/>
      <c r="F8" s="23" t="s">
        <v>168</v>
      </c>
      <c r="G8"/>
    </row>
    <row r="9" spans="1:7" x14ac:dyDescent="0.25">
      <c r="A9" s="18"/>
      <c r="B9" s="35" t="s">
        <v>169</v>
      </c>
      <c r="C9" s="90">
        <v>101.6</v>
      </c>
      <c r="D9" s="24">
        <v>1</v>
      </c>
      <c r="E9" s="34" t="s">
        <v>170</v>
      </c>
      <c r="F9" s="61" t="s">
        <v>230</v>
      </c>
    </row>
    <row r="10" spans="1:7" x14ac:dyDescent="0.25">
      <c r="B10" s="25"/>
      <c r="C10" s="25"/>
      <c r="E10" s="26"/>
      <c r="F10" s="26"/>
    </row>
    <row r="11" spans="1:7" x14ac:dyDescent="0.25">
      <c r="B11" s="36" t="s">
        <v>171</v>
      </c>
      <c r="C11" s="9">
        <v>2016</v>
      </c>
    </row>
    <row r="12" spans="1:7" x14ac:dyDescent="0.25">
      <c r="B12" s="36" t="s">
        <v>173</v>
      </c>
      <c r="C12" s="9">
        <v>2014</v>
      </c>
    </row>
    <row r="13" spans="1:7" x14ac:dyDescent="0.25">
      <c r="B13" s="36" t="s">
        <v>172</v>
      </c>
      <c r="C13" s="9">
        <v>21</v>
      </c>
    </row>
    <row r="14" spans="1:7" x14ac:dyDescent="0.25">
      <c r="B14" s="63" t="s">
        <v>232</v>
      </c>
      <c r="C14" s="401">
        <f>SUM(D18:D21)</f>
        <v>177000</v>
      </c>
    </row>
    <row r="15" spans="1:7" x14ac:dyDescent="0.25">
      <c r="B15" s="42"/>
      <c r="C15" s="42"/>
    </row>
    <row r="16" spans="1:7" x14ac:dyDescent="0.25">
      <c r="B16" s="42"/>
    </row>
    <row r="17" spans="2:6" ht="45" x14ac:dyDescent="0.25">
      <c r="B17" s="36" t="s">
        <v>185</v>
      </c>
      <c r="C17" s="64" t="s">
        <v>476</v>
      </c>
      <c r="D17" s="64" t="s">
        <v>483</v>
      </c>
      <c r="E17" s="64" t="s">
        <v>464</v>
      </c>
      <c r="F17" s="64" t="s">
        <v>465</v>
      </c>
    </row>
    <row r="18" spans="2:6" x14ac:dyDescent="0.25">
      <c r="B18" s="9" t="s">
        <v>515</v>
      </c>
      <c r="C18" s="9">
        <v>186</v>
      </c>
      <c r="D18" s="9">
        <f>C18*250</f>
        <v>46500</v>
      </c>
      <c r="E18" s="91">
        <f>IFERROR(VLOOKUP(B18,'Drop Down Master List'!$K$3:$O$16,2,FALSE),"")</f>
        <v>93</v>
      </c>
      <c r="F18" s="91">
        <f>IFERROR(VLOOKUP(B18,'Drop Down Master List'!$K$3:$O$16,3,FALSE),"")</f>
        <v>3</v>
      </c>
    </row>
    <row r="19" spans="2:6" x14ac:dyDescent="0.25">
      <c r="B19" s="9" t="s">
        <v>515</v>
      </c>
      <c r="C19" s="419">
        <v>186</v>
      </c>
      <c r="D19" s="9">
        <f t="shared" ref="D19:D20" si="0">C19*250</f>
        <v>46500</v>
      </c>
      <c r="E19" s="91">
        <f>IFERROR(VLOOKUP(B19,'Drop Down Master List'!$K$3:$O$16,2,FALSE),"")</f>
        <v>93</v>
      </c>
      <c r="F19" s="91">
        <f>IFERROR(VLOOKUP(B19,'Drop Down Master List'!$K$3:$O$16,3,FALSE),"")</f>
        <v>3</v>
      </c>
    </row>
    <row r="20" spans="2:6" x14ac:dyDescent="0.25">
      <c r="B20" s="9" t="s">
        <v>517</v>
      </c>
      <c r="C20" s="9">
        <v>168</v>
      </c>
      <c r="D20" s="9">
        <f t="shared" si="0"/>
        <v>42000</v>
      </c>
      <c r="E20" s="91">
        <f>IFERROR(VLOOKUP(B20,'Drop Down Master List'!$K$3:$O$16,2,FALSE),"")</f>
        <v>42</v>
      </c>
      <c r="F20" s="91">
        <f>IFERROR(VLOOKUP(B20,'Drop Down Master List'!$K$3:$O$16,3,FALSE),"")</f>
        <v>6</v>
      </c>
    </row>
    <row r="21" spans="2:6" x14ac:dyDescent="0.25">
      <c r="B21" s="9" t="s">
        <v>517</v>
      </c>
      <c r="C21" s="9">
        <v>168</v>
      </c>
      <c r="D21" s="9">
        <f>C21*250</f>
        <v>42000</v>
      </c>
      <c r="E21" s="91">
        <f>IFERROR(VLOOKUP(B21,'Drop Down Master List'!$K$3:$O$16,2,FALSE),"")</f>
        <v>42</v>
      </c>
      <c r="F21" s="91">
        <f>IFERROR(VLOOKUP(B21,'Drop Down Master List'!$K$3:$O$16,3,FALSE),"")</f>
        <v>6</v>
      </c>
    </row>
    <row r="22" spans="2:6" x14ac:dyDescent="0.25">
      <c r="B22" s="42"/>
      <c r="C22" s="42"/>
    </row>
    <row r="23" spans="2:6" x14ac:dyDescent="0.25">
      <c r="B23" s="42"/>
      <c r="C23" s="42"/>
    </row>
    <row r="24" spans="2:6" x14ac:dyDescent="0.25">
      <c r="B24" s="435" t="s">
        <v>186</v>
      </c>
      <c r="C24" s="436"/>
      <c r="D24" s="437"/>
    </row>
    <row r="25" spans="2:6" x14ac:dyDescent="0.25">
      <c r="B25" s="36" t="s">
        <v>187</v>
      </c>
      <c r="C25" s="439" t="s">
        <v>191</v>
      </c>
      <c r="D25" s="439"/>
    </row>
    <row r="26" spans="2:6" x14ac:dyDescent="0.25">
      <c r="B26" s="36" t="s">
        <v>188</v>
      </c>
      <c r="C26" s="439" t="s">
        <v>195</v>
      </c>
      <c r="D26" s="439"/>
    </row>
    <row r="27" spans="2:6" x14ac:dyDescent="0.25">
      <c r="B27" s="36" t="s">
        <v>189</v>
      </c>
      <c r="C27" s="440" t="s">
        <v>196</v>
      </c>
      <c r="D27" s="441"/>
    </row>
    <row r="29" spans="2:6" ht="15.75" x14ac:dyDescent="0.25">
      <c r="B29" s="442" t="s">
        <v>174</v>
      </c>
      <c r="C29" s="442"/>
      <c r="D29" s="442"/>
      <c r="E29" s="442"/>
      <c r="F29" s="72"/>
    </row>
    <row r="31" spans="2:6" x14ac:dyDescent="0.25">
      <c r="B31" s="36" t="s">
        <v>440</v>
      </c>
      <c r="C31" s="438" t="s">
        <v>175</v>
      </c>
      <c r="D31" s="438"/>
      <c r="E31" s="438"/>
    </row>
    <row r="32" spans="2:6" x14ac:dyDescent="0.25">
      <c r="B32" s="9" t="s">
        <v>443</v>
      </c>
      <c r="C32" s="37"/>
      <c r="D32" s="38"/>
      <c r="E32" s="39"/>
    </row>
    <row r="33" spans="2:6" x14ac:dyDescent="0.25">
      <c r="B33" s="9" t="s">
        <v>449</v>
      </c>
      <c r="C33" s="37"/>
      <c r="D33" s="38"/>
      <c r="E33" s="39"/>
    </row>
    <row r="34" spans="2:6" x14ac:dyDescent="0.25">
      <c r="B34" s="9" t="s">
        <v>449</v>
      </c>
      <c r="C34" s="37"/>
      <c r="D34" s="38"/>
      <c r="E34" s="39"/>
    </row>
    <row r="35" spans="2:6" ht="30.6" customHeight="1" x14ac:dyDescent="0.25">
      <c r="B35" s="9" t="s">
        <v>448</v>
      </c>
      <c r="C35" s="37"/>
      <c r="D35" s="38"/>
      <c r="E35" s="39"/>
    </row>
    <row r="36" spans="2:6" x14ac:dyDescent="0.25">
      <c r="B36" s="9" t="s">
        <v>444</v>
      </c>
      <c r="C36" s="37"/>
      <c r="D36" s="38"/>
      <c r="E36" s="39"/>
    </row>
    <row r="37" spans="2:6" x14ac:dyDescent="0.25">
      <c r="B37" s="9" t="s">
        <v>444</v>
      </c>
      <c r="C37" s="37"/>
      <c r="D37" s="38"/>
      <c r="E37" s="39"/>
    </row>
    <row r="38" spans="2:6" x14ac:dyDescent="0.25">
      <c r="B38" s="9" t="s">
        <v>444</v>
      </c>
      <c r="C38" s="37"/>
      <c r="D38" s="38"/>
      <c r="E38" s="39"/>
    </row>
    <row r="39" spans="2:6" x14ac:dyDescent="0.25">
      <c r="B39" s="9" t="s">
        <v>444</v>
      </c>
      <c r="C39" s="37"/>
      <c r="D39" s="38"/>
      <c r="E39" s="39"/>
    </row>
    <row r="40" spans="2:6" x14ac:dyDescent="0.25">
      <c r="B40" s="9" t="s">
        <v>444</v>
      </c>
      <c r="C40" s="37"/>
      <c r="D40" s="38"/>
      <c r="E40" s="39"/>
    </row>
    <row r="41" spans="2:6" x14ac:dyDescent="0.25">
      <c r="B41" s="9" t="s">
        <v>444</v>
      </c>
      <c r="C41" s="37"/>
      <c r="D41" s="38"/>
      <c r="E41" s="39"/>
    </row>
    <row r="42" spans="2:6" x14ac:dyDescent="0.25">
      <c r="B42" s="9" t="s">
        <v>447</v>
      </c>
      <c r="C42" s="37"/>
      <c r="D42" s="38"/>
      <c r="E42" s="39"/>
    </row>
    <row r="43" spans="2:6" x14ac:dyDescent="0.25">
      <c r="B43" s="9" t="s">
        <v>447</v>
      </c>
      <c r="C43" s="37"/>
      <c r="D43" s="38"/>
      <c r="E43" s="39"/>
    </row>
    <row r="44" spans="2:6" x14ac:dyDescent="0.25">
      <c r="B44" s="9" t="s">
        <v>447</v>
      </c>
      <c r="C44" s="37"/>
      <c r="D44" s="38"/>
      <c r="E44" s="39"/>
    </row>
    <row r="45" spans="2:6" x14ac:dyDescent="0.25">
      <c r="B45" s="9" t="s">
        <v>447</v>
      </c>
      <c r="C45" s="37"/>
      <c r="D45" s="38"/>
      <c r="E45" s="39"/>
    </row>
    <row r="46" spans="2:6" x14ac:dyDescent="0.25">
      <c r="B46" s="9" t="s">
        <v>447</v>
      </c>
      <c r="C46" s="37"/>
      <c r="D46" s="38"/>
      <c r="E46" s="39"/>
      <c r="F46" s="85"/>
    </row>
    <row r="47" spans="2:6" x14ac:dyDescent="0.25">
      <c r="B47" s="9" t="s">
        <v>447</v>
      </c>
      <c r="C47" s="37"/>
      <c r="D47" s="38"/>
      <c r="E47" s="39"/>
      <c r="F47" s="85"/>
    </row>
    <row r="48" spans="2:6" x14ac:dyDescent="0.25">
      <c r="B48" s="9" t="s">
        <v>447</v>
      </c>
      <c r="C48" s="37"/>
      <c r="D48" s="38"/>
      <c r="E48" s="39"/>
      <c r="F48" s="85"/>
    </row>
    <row r="49" spans="2:6" x14ac:dyDescent="0.25">
      <c r="B49" s="9" t="s">
        <v>447</v>
      </c>
      <c r="C49" s="37"/>
      <c r="D49" s="38"/>
      <c r="E49" s="39"/>
      <c r="F49" s="85"/>
    </row>
    <row r="50" spans="2:6" x14ac:dyDescent="0.25">
      <c r="B50" s="9" t="s">
        <v>447</v>
      </c>
      <c r="C50" s="37"/>
      <c r="D50" s="38"/>
      <c r="E50" s="39"/>
      <c r="F50" s="85"/>
    </row>
    <row r="51" spans="2:6" x14ac:dyDescent="0.25">
      <c r="B51" s="9" t="s">
        <v>447</v>
      </c>
      <c r="C51" s="37"/>
      <c r="D51" s="38"/>
      <c r="E51" s="39"/>
      <c r="F51" s="85"/>
    </row>
    <row r="52" spans="2:6" s="85" customFormat="1" x14ac:dyDescent="0.25">
      <c r="B52" s="9" t="s">
        <v>447</v>
      </c>
      <c r="C52" s="37"/>
      <c r="D52" s="38"/>
      <c r="E52" s="39"/>
    </row>
    <row r="53" spans="2:6" s="85" customFormat="1" x14ac:dyDescent="0.25">
      <c r="B53" s="9"/>
      <c r="C53" s="37"/>
      <c r="D53" s="38"/>
      <c r="E53" s="39"/>
    </row>
    <row r="54" spans="2:6" s="85" customFormat="1" x14ac:dyDescent="0.25">
      <c r="B54" s="9"/>
      <c r="C54" s="37"/>
      <c r="D54" s="38"/>
      <c r="E54" s="39"/>
    </row>
    <row r="55" spans="2:6" s="85" customFormat="1" x14ac:dyDescent="0.25">
      <c r="B55" s="9"/>
      <c r="C55" s="37"/>
      <c r="D55" s="38"/>
      <c r="E55" s="39"/>
    </row>
    <row r="56" spans="2:6" s="85" customFormat="1" x14ac:dyDescent="0.25">
      <c r="B56" s="9" t="s">
        <v>86</v>
      </c>
      <c r="C56" s="37"/>
      <c r="D56" s="38"/>
      <c r="E56" s="39"/>
      <c r="F56"/>
    </row>
    <row r="57" spans="2:6" s="85" customFormat="1" x14ac:dyDescent="0.25">
      <c r="B57"/>
      <c r="C57"/>
      <c r="D57"/>
      <c r="E57"/>
      <c r="F57"/>
    </row>
    <row r="58" spans="2:6" s="85" customFormat="1" ht="15.75" x14ac:dyDescent="0.25">
      <c r="B58" s="442" t="s">
        <v>178</v>
      </c>
      <c r="C58" s="442"/>
      <c r="D58" s="442"/>
      <c r="E58" s="442"/>
      <c r="F58" s="72"/>
    </row>
    <row r="59" spans="2:6" s="85" customFormat="1" ht="15.75" x14ac:dyDescent="0.25">
      <c r="B59" s="47"/>
      <c r="C59" s="47"/>
      <c r="D59" s="47"/>
      <c r="E59" s="47"/>
      <c r="F59" s="47"/>
    </row>
    <row r="60" spans="2:6" s="85" customFormat="1" x14ac:dyDescent="0.25">
      <c r="B60" s="36" t="s">
        <v>440</v>
      </c>
      <c r="C60" s="438" t="s">
        <v>175</v>
      </c>
      <c r="D60" s="438"/>
      <c r="E60" s="438"/>
      <c r="F60"/>
    </row>
    <row r="61" spans="2:6" s="85" customFormat="1" x14ac:dyDescent="0.25">
      <c r="B61" s="9"/>
      <c r="C61" s="37"/>
      <c r="D61" s="38"/>
      <c r="E61" s="39"/>
      <c r="F61"/>
    </row>
    <row r="62" spans="2:6" x14ac:dyDescent="0.25">
      <c r="B62" s="9"/>
      <c r="C62" s="37"/>
      <c r="D62" s="38"/>
      <c r="E62" s="39"/>
    </row>
    <row r="63" spans="2:6" x14ac:dyDescent="0.25">
      <c r="B63" s="9"/>
      <c r="C63" s="37"/>
      <c r="D63" s="38"/>
      <c r="E63" s="39"/>
    </row>
    <row r="64" spans="2:6" ht="29.45" customHeight="1" x14ac:dyDescent="0.25">
      <c r="B64" s="9"/>
      <c r="C64" s="37"/>
      <c r="D64" s="38"/>
      <c r="E64" s="39"/>
    </row>
    <row r="65" spans="2:5" ht="14.45" customHeight="1" x14ac:dyDescent="0.25">
      <c r="B65" s="9"/>
      <c r="C65" s="37"/>
      <c r="D65" s="38"/>
      <c r="E65" s="39"/>
    </row>
    <row r="66" spans="2:5" x14ac:dyDescent="0.25">
      <c r="B66" s="9"/>
      <c r="C66" s="37"/>
      <c r="D66" s="38"/>
      <c r="E66" s="39"/>
    </row>
    <row r="67" spans="2:5" x14ac:dyDescent="0.25">
      <c r="B67" s="9"/>
      <c r="C67" s="37"/>
      <c r="D67" s="38"/>
      <c r="E67" s="39"/>
    </row>
    <row r="68" spans="2:5" x14ac:dyDescent="0.25">
      <c r="B68" s="9"/>
      <c r="C68" s="37"/>
      <c r="D68" s="38"/>
      <c r="E68" s="39"/>
    </row>
    <row r="69" spans="2:5" x14ac:dyDescent="0.25">
      <c r="B69" s="9"/>
      <c r="C69" s="37"/>
      <c r="D69" s="38"/>
      <c r="E69" s="39"/>
    </row>
    <row r="71" spans="2:5" x14ac:dyDescent="0.25">
      <c r="B71" s="65" t="s">
        <v>347</v>
      </c>
    </row>
    <row r="72" spans="2:5" x14ac:dyDescent="0.25">
      <c r="B72" s="1" t="s">
        <v>451</v>
      </c>
    </row>
  </sheetData>
  <sheetProtection password="C441" sheet="1" objects="1" scenarios="1"/>
  <mergeCells count="8">
    <mergeCell ref="B24:D24"/>
    <mergeCell ref="C31:E31"/>
    <mergeCell ref="C60:E60"/>
    <mergeCell ref="C25:D25"/>
    <mergeCell ref="C26:D26"/>
    <mergeCell ref="C27:D27"/>
    <mergeCell ref="B29:E29"/>
    <mergeCell ref="B58:E58"/>
  </mergeCells>
  <dataValidations count="1">
    <dataValidation showInputMessage="1" sqref="B22 B1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'Drop Down Master List'!$A$3:$A$17</xm:f>
          </x14:formula1>
          <xm:sqref>C7</xm:sqref>
        </x14:dataValidation>
        <x14:dataValidation type="list" showInputMessage="1">
          <x14:formula1>
            <xm:f>'Drop Down Master List'!$K$3:$K$16</xm:f>
          </x14:formula1>
          <xm:sqref>B18:B21</xm:sqref>
        </x14:dataValidation>
        <x14:dataValidation type="list" allowBlank="1" showInputMessage="1" showErrorMessage="1">
          <x14:formula1>
            <xm:f>'Drop Down Master List'!$A$35:$A$37</xm:f>
          </x14:formula1>
          <xm:sqref>C25:D25</xm:sqref>
        </x14:dataValidation>
        <x14:dataValidation type="list" allowBlank="1" showInputMessage="1" showErrorMessage="1">
          <x14:formula1>
            <xm:f>'Drop Down Master List'!$A$39:$A$41</xm:f>
          </x14:formula1>
          <xm:sqref>C26:D26</xm:sqref>
        </x14:dataValidation>
        <x14:dataValidation type="list" allowBlank="1" showInputMessage="1" showErrorMessage="1">
          <x14:formula1>
            <xm:f>'Drop Down Master List'!$A$43:$A$45</xm:f>
          </x14:formula1>
          <xm:sqref>C27:D27</xm:sqref>
        </x14:dataValidation>
        <x14:dataValidation type="list" allowBlank="1" showInputMessage="1" showErrorMessage="1">
          <x14:formula1>
            <xm:f>'Drop Down Master List'!$K$53:$K$61</xm:f>
          </x14:formula1>
          <xm:sqref>B61:B69 B32:B56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B9803"/>
  </sheetPr>
  <dimension ref="A1:BQ224"/>
  <sheetViews>
    <sheetView showGridLines="0" zoomScale="90" zoomScaleNormal="90" workbookViewId="0">
      <selection activeCell="C2" sqref="C2"/>
    </sheetView>
  </sheetViews>
  <sheetFormatPr defaultRowHeight="15" x14ac:dyDescent="0.25"/>
  <cols>
    <col min="1" max="1" width="5.5703125" style="112" bestFit="1" customWidth="1"/>
    <col min="2" max="2" width="74.42578125" style="120" customWidth="1"/>
    <col min="3" max="4" width="22.7109375" style="120" customWidth="1"/>
    <col min="5" max="5" width="23.140625" style="120" customWidth="1"/>
    <col min="6" max="6" width="22.7109375" style="120" customWidth="1"/>
    <col min="7" max="7" width="19.7109375" style="120" bestFit="1" customWidth="1"/>
    <col min="8" max="8" width="14" style="120" customWidth="1"/>
    <col min="9" max="12" width="10.7109375" style="120" customWidth="1"/>
    <col min="13" max="14" width="10.140625" style="112" customWidth="1"/>
    <col min="15" max="29" width="9.140625" style="112"/>
    <col min="30" max="256" width="9.140625" style="120"/>
    <col min="257" max="257" width="5.5703125" style="120" bestFit="1" customWidth="1"/>
    <col min="258" max="258" width="26.42578125" style="120" customWidth="1"/>
    <col min="259" max="259" width="10.85546875" style="120" customWidth="1"/>
    <col min="260" max="260" width="10.140625" style="120" customWidth="1"/>
    <col min="261" max="261" width="11.28515625" style="120" customWidth="1"/>
    <col min="262" max="262" width="8.7109375" style="120" customWidth="1"/>
    <col min="263" max="263" width="11.28515625" style="120" customWidth="1"/>
    <col min="264" max="268" width="10.7109375" style="120" customWidth="1"/>
    <col min="269" max="270" width="10.140625" style="120" customWidth="1"/>
    <col min="271" max="512" width="9.140625" style="120"/>
    <col min="513" max="513" width="5.5703125" style="120" bestFit="1" customWidth="1"/>
    <col min="514" max="514" width="26.42578125" style="120" customWidth="1"/>
    <col min="515" max="515" width="10.85546875" style="120" customWidth="1"/>
    <col min="516" max="516" width="10.140625" style="120" customWidth="1"/>
    <col min="517" max="517" width="11.28515625" style="120" customWidth="1"/>
    <col min="518" max="518" width="8.7109375" style="120" customWidth="1"/>
    <col min="519" max="519" width="11.28515625" style="120" customWidth="1"/>
    <col min="520" max="524" width="10.7109375" style="120" customWidth="1"/>
    <col min="525" max="526" width="10.140625" style="120" customWidth="1"/>
    <col min="527" max="768" width="9.140625" style="120"/>
    <col min="769" max="769" width="5.5703125" style="120" bestFit="1" customWidth="1"/>
    <col min="770" max="770" width="26.42578125" style="120" customWidth="1"/>
    <col min="771" max="771" width="10.85546875" style="120" customWidth="1"/>
    <col min="772" max="772" width="10.140625" style="120" customWidth="1"/>
    <col min="773" max="773" width="11.28515625" style="120" customWidth="1"/>
    <col min="774" max="774" width="8.7109375" style="120" customWidth="1"/>
    <col min="775" max="775" width="11.28515625" style="120" customWidth="1"/>
    <col min="776" max="780" width="10.7109375" style="120" customWidth="1"/>
    <col min="781" max="782" width="10.140625" style="120" customWidth="1"/>
    <col min="783" max="1024" width="9.140625" style="120"/>
    <col min="1025" max="1025" width="5.5703125" style="120" bestFit="1" customWidth="1"/>
    <col min="1026" max="1026" width="26.42578125" style="120" customWidth="1"/>
    <col min="1027" max="1027" width="10.85546875" style="120" customWidth="1"/>
    <col min="1028" max="1028" width="10.140625" style="120" customWidth="1"/>
    <col min="1029" max="1029" width="11.28515625" style="120" customWidth="1"/>
    <col min="1030" max="1030" width="8.7109375" style="120" customWidth="1"/>
    <col min="1031" max="1031" width="11.28515625" style="120" customWidth="1"/>
    <col min="1032" max="1036" width="10.7109375" style="120" customWidth="1"/>
    <col min="1037" max="1038" width="10.140625" style="120" customWidth="1"/>
    <col min="1039" max="1280" width="9.140625" style="120"/>
    <col min="1281" max="1281" width="5.5703125" style="120" bestFit="1" customWidth="1"/>
    <col min="1282" max="1282" width="26.42578125" style="120" customWidth="1"/>
    <col min="1283" max="1283" width="10.85546875" style="120" customWidth="1"/>
    <col min="1284" max="1284" width="10.140625" style="120" customWidth="1"/>
    <col min="1285" max="1285" width="11.28515625" style="120" customWidth="1"/>
    <col min="1286" max="1286" width="8.7109375" style="120" customWidth="1"/>
    <col min="1287" max="1287" width="11.28515625" style="120" customWidth="1"/>
    <col min="1288" max="1292" width="10.7109375" style="120" customWidth="1"/>
    <col min="1293" max="1294" width="10.140625" style="120" customWidth="1"/>
    <col min="1295" max="1536" width="9.140625" style="120"/>
    <col min="1537" max="1537" width="5.5703125" style="120" bestFit="1" customWidth="1"/>
    <col min="1538" max="1538" width="26.42578125" style="120" customWidth="1"/>
    <col min="1539" max="1539" width="10.85546875" style="120" customWidth="1"/>
    <col min="1540" max="1540" width="10.140625" style="120" customWidth="1"/>
    <col min="1541" max="1541" width="11.28515625" style="120" customWidth="1"/>
    <col min="1542" max="1542" width="8.7109375" style="120" customWidth="1"/>
    <col min="1543" max="1543" width="11.28515625" style="120" customWidth="1"/>
    <col min="1544" max="1548" width="10.7109375" style="120" customWidth="1"/>
    <col min="1549" max="1550" width="10.140625" style="120" customWidth="1"/>
    <col min="1551" max="1792" width="9.140625" style="120"/>
    <col min="1793" max="1793" width="5.5703125" style="120" bestFit="1" customWidth="1"/>
    <col min="1794" max="1794" width="26.42578125" style="120" customWidth="1"/>
    <col min="1795" max="1795" width="10.85546875" style="120" customWidth="1"/>
    <col min="1796" max="1796" width="10.140625" style="120" customWidth="1"/>
    <col min="1797" max="1797" width="11.28515625" style="120" customWidth="1"/>
    <col min="1798" max="1798" width="8.7109375" style="120" customWidth="1"/>
    <col min="1799" max="1799" width="11.28515625" style="120" customWidth="1"/>
    <col min="1800" max="1804" width="10.7109375" style="120" customWidth="1"/>
    <col min="1805" max="1806" width="10.140625" style="120" customWidth="1"/>
    <col min="1807" max="2048" width="9.140625" style="120"/>
    <col min="2049" max="2049" width="5.5703125" style="120" bestFit="1" customWidth="1"/>
    <col min="2050" max="2050" width="26.42578125" style="120" customWidth="1"/>
    <col min="2051" max="2051" width="10.85546875" style="120" customWidth="1"/>
    <col min="2052" max="2052" width="10.140625" style="120" customWidth="1"/>
    <col min="2053" max="2053" width="11.28515625" style="120" customWidth="1"/>
    <col min="2054" max="2054" width="8.7109375" style="120" customWidth="1"/>
    <col min="2055" max="2055" width="11.28515625" style="120" customWidth="1"/>
    <col min="2056" max="2060" width="10.7109375" style="120" customWidth="1"/>
    <col min="2061" max="2062" width="10.140625" style="120" customWidth="1"/>
    <col min="2063" max="2304" width="9.140625" style="120"/>
    <col min="2305" max="2305" width="5.5703125" style="120" bestFit="1" customWidth="1"/>
    <col min="2306" max="2306" width="26.42578125" style="120" customWidth="1"/>
    <col min="2307" max="2307" width="10.85546875" style="120" customWidth="1"/>
    <col min="2308" max="2308" width="10.140625" style="120" customWidth="1"/>
    <col min="2309" max="2309" width="11.28515625" style="120" customWidth="1"/>
    <col min="2310" max="2310" width="8.7109375" style="120" customWidth="1"/>
    <col min="2311" max="2311" width="11.28515625" style="120" customWidth="1"/>
    <col min="2312" max="2316" width="10.7109375" style="120" customWidth="1"/>
    <col min="2317" max="2318" width="10.140625" style="120" customWidth="1"/>
    <col min="2319" max="2560" width="9.140625" style="120"/>
    <col min="2561" max="2561" width="5.5703125" style="120" bestFit="1" customWidth="1"/>
    <col min="2562" max="2562" width="26.42578125" style="120" customWidth="1"/>
    <col min="2563" max="2563" width="10.85546875" style="120" customWidth="1"/>
    <col min="2564" max="2564" width="10.140625" style="120" customWidth="1"/>
    <col min="2565" max="2565" width="11.28515625" style="120" customWidth="1"/>
    <col min="2566" max="2566" width="8.7109375" style="120" customWidth="1"/>
    <col min="2567" max="2567" width="11.28515625" style="120" customWidth="1"/>
    <col min="2568" max="2572" width="10.7109375" style="120" customWidth="1"/>
    <col min="2573" max="2574" width="10.140625" style="120" customWidth="1"/>
    <col min="2575" max="2816" width="9.140625" style="120"/>
    <col min="2817" max="2817" width="5.5703125" style="120" bestFit="1" customWidth="1"/>
    <col min="2818" max="2818" width="26.42578125" style="120" customWidth="1"/>
    <col min="2819" max="2819" width="10.85546875" style="120" customWidth="1"/>
    <col min="2820" max="2820" width="10.140625" style="120" customWidth="1"/>
    <col min="2821" max="2821" width="11.28515625" style="120" customWidth="1"/>
    <col min="2822" max="2822" width="8.7109375" style="120" customWidth="1"/>
    <col min="2823" max="2823" width="11.28515625" style="120" customWidth="1"/>
    <col min="2824" max="2828" width="10.7109375" style="120" customWidth="1"/>
    <col min="2829" max="2830" width="10.140625" style="120" customWidth="1"/>
    <col min="2831" max="3072" width="9.140625" style="120"/>
    <col min="3073" max="3073" width="5.5703125" style="120" bestFit="1" customWidth="1"/>
    <col min="3074" max="3074" width="26.42578125" style="120" customWidth="1"/>
    <col min="3075" max="3075" width="10.85546875" style="120" customWidth="1"/>
    <col min="3076" max="3076" width="10.140625" style="120" customWidth="1"/>
    <col min="3077" max="3077" width="11.28515625" style="120" customWidth="1"/>
    <col min="3078" max="3078" width="8.7109375" style="120" customWidth="1"/>
    <col min="3079" max="3079" width="11.28515625" style="120" customWidth="1"/>
    <col min="3080" max="3084" width="10.7109375" style="120" customWidth="1"/>
    <col min="3085" max="3086" width="10.140625" style="120" customWidth="1"/>
    <col min="3087" max="3328" width="9.140625" style="120"/>
    <col min="3329" max="3329" width="5.5703125" style="120" bestFit="1" customWidth="1"/>
    <col min="3330" max="3330" width="26.42578125" style="120" customWidth="1"/>
    <col min="3331" max="3331" width="10.85546875" style="120" customWidth="1"/>
    <col min="3332" max="3332" width="10.140625" style="120" customWidth="1"/>
    <col min="3333" max="3333" width="11.28515625" style="120" customWidth="1"/>
    <col min="3334" max="3334" width="8.7109375" style="120" customWidth="1"/>
    <col min="3335" max="3335" width="11.28515625" style="120" customWidth="1"/>
    <col min="3336" max="3340" width="10.7109375" style="120" customWidth="1"/>
    <col min="3341" max="3342" width="10.140625" style="120" customWidth="1"/>
    <col min="3343" max="3584" width="9.140625" style="120"/>
    <col min="3585" max="3585" width="5.5703125" style="120" bestFit="1" customWidth="1"/>
    <col min="3586" max="3586" width="26.42578125" style="120" customWidth="1"/>
    <col min="3587" max="3587" width="10.85546875" style="120" customWidth="1"/>
    <col min="3588" max="3588" width="10.140625" style="120" customWidth="1"/>
    <col min="3589" max="3589" width="11.28515625" style="120" customWidth="1"/>
    <col min="3590" max="3590" width="8.7109375" style="120" customWidth="1"/>
    <col min="3591" max="3591" width="11.28515625" style="120" customWidth="1"/>
    <col min="3592" max="3596" width="10.7109375" style="120" customWidth="1"/>
    <col min="3597" max="3598" width="10.140625" style="120" customWidth="1"/>
    <col min="3599" max="3840" width="9.140625" style="120"/>
    <col min="3841" max="3841" width="5.5703125" style="120" bestFit="1" customWidth="1"/>
    <col min="3842" max="3842" width="26.42578125" style="120" customWidth="1"/>
    <col min="3843" max="3843" width="10.85546875" style="120" customWidth="1"/>
    <col min="3844" max="3844" width="10.140625" style="120" customWidth="1"/>
    <col min="3845" max="3845" width="11.28515625" style="120" customWidth="1"/>
    <col min="3846" max="3846" width="8.7109375" style="120" customWidth="1"/>
    <col min="3847" max="3847" width="11.28515625" style="120" customWidth="1"/>
    <col min="3848" max="3852" width="10.7109375" style="120" customWidth="1"/>
    <col min="3853" max="3854" width="10.140625" style="120" customWidth="1"/>
    <col min="3855" max="4096" width="9.140625" style="120"/>
    <col min="4097" max="4097" width="5.5703125" style="120" bestFit="1" customWidth="1"/>
    <col min="4098" max="4098" width="26.42578125" style="120" customWidth="1"/>
    <col min="4099" max="4099" width="10.85546875" style="120" customWidth="1"/>
    <col min="4100" max="4100" width="10.140625" style="120" customWidth="1"/>
    <col min="4101" max="4101" width="11.28515625" style="120" customWidth="1"/>
    <col min="4102" max="4102" width="8.7109375" style="120" customWidth="1"/>
    <col min="4103" max="4103" width="11.28515625" style="120" customWidth="1"/>
    <col min="4104" max="4108" width="10.7109375" style="120" customWidth="1"/>
    <col min="4109" max="4110" width="10.140625" style="120" customWidth="1"/>
    <col min="4111" max="4352" width="9.140625" style="120"/>
    <col min="4353" max="4353" width="5.5703125" style="120" bestFit="1" customWidth="1"/>
    <col min="4354" max="4354" width="26.42578125" style="120" customWidth="1"/>
    <col min="4355" max="4355" width="10.85546875" style="120" customWidth="1"/>
    <col min="4356" max="4356" width="10.140625" style="120" customWidth="1"/>
    <col min="4357" max="4357" width="11.28515625" style="120" customWidth="1"/>
    <col min="4358" max="4358" width="8.7109375" style="120" customWidth="1"/>
    <col min="4359" max="4359" width="11.28515625" style="120" customWidth="1"/>
    <col min="4360" max="4364" width="10.7109375" style="120" customWidth="1"/>
    <col min="4365" max="4366" width="10.140625" style="120" customWidth="1"/>
    <col min="4367" max="4608" width="9.140625" style="120"/>
    <col min="4609" max="4609" width="5.5703125" style="120" bestFit="1" customWidth="1"/>
    <col min="4610" max="4610" width="26.42578125" style="120" customWidth="1"/>
    <col min="4611" max="4611" width="10.85546875" style="120" customWidth="1"/>
    <col min="4612" max="4612" width="10.140625" style="120" customWidth="1"/>
    <col min="4613" max="4613" width="11.28515625" style="120" customWidth="1"/>
    <col min="4614" max="4614" width="8.7109375" style="120" customWidth="1"/>
    <col min="4615" max="4615" width="11.28515625" style="120" customWidth="1"/>
    <col min="4616" max="4620" width="10.7109375" style="120" customWidth="1"/>
    <col min="4621" max="4622" width="10.140625" style="120" customWidth="1"/>
    <col min="4623" max="4864" width="9.140625" style="120"/>
    <col min="4865" max="4865" width="5.5703125" style="120" bestFit="1" customWidth="1"/>
    <col min="4866" max="4866" width="26.42578125" style="120" customWidth="1"/>
    <col min="4867" max="4867" width="10.85546875" style="120" customWidth="1"/>
    <col min="4868" max="4868" width="10.140625" style="120" customWidth="1"/>
    <col min="4869" max="4869" width="11.28515625" style="120" customWidth="1"/>
    <col min="4870" max="4870" width="8.7109375" style="120" customWidth="1"/>
    <col min="4871" max="4871" width="11.28515625" style="120" customWidth="1"/>
    <col min="4872" max="4876" width="10.7109375" style="120" customWidth="1"/>
    <col min="4877" max="4878" width="10.140625" style="120" customWidth="1"/>
    <col min="4879" max="5120" width="9.140625" style="120"/>
    <col min="5121" max="5121" width="5.5703125" style="120" bestFit="1" customWidth="1"/>
    <col min="5122" max="5122" width="26.42578125" style="120" customWidth="1"/>
    <col min="5123" max="5123" width="10.85546875" style="120" customWidth="1"/>
    <col min="5124" max="5124" width="10.140625" style="120" customWidth="1"/>
    <col min="5125" max="5125" width="11.28515625" style="120" customWidth="1"/>
    <col min="5126" max="5126" width="8.7109375" style="120" customWidth="1"/>
    <col min="5127" max="5127" width="11.28515625" style="120" customWidth="1"/>
    <col min="5128" max="5132" width="10.7109375" style="120" customWidth="1"/>
    <col min="5133" max="5134" width="10.140625" style="120" customWidth="1"/>
    <col min="5135" max="5376" width="9.140625" style="120"/>
    <col min="5377" max="5377" width="5.5703125" style="120" bestFit="1" customWidth="1"/>
    <col min="5378" max="5378" width="26.42578125" style="120" customWidth="1"/>
    <col min="5379" max="5379" width="10.85546875" style="120" customWidth="1"/>
    <col min="5380" max="5380" width="10.140625" style="120" customWidth="1"/>
    <col min="5381" max="5381" width="11.28515625" style="120" customWidth="1"/>
    <col min="5382" max="5382" width="8.7109375" style="120" customWidth="1"/>
    <col min="5383" max="5383" width="11.28515625" style="120" customWidth="1"/>
    <col min="5384" max="5388" width="10.7109375" style="120" customWidth="1"/>
    <col min="5389" max="5390" width="10.140625" style="120" customWidth="1"/>
    <col min="5391" max="5632" width="9.140625" style="120"/>
    <col min="5633" max="5633" width="5.5703125" style="120" bestFit="1" customWidth="1"/>
    <col min="5634" max="5634" width="26.42578125" style="120" customWidth="1"/>
    <col min="5635" max="5635" width="10.85546875" style="120" customWidth="1"/>
    <col min="5636" max="5636" width="10.140625" style="120" customWidth="1"/>
    <col min="5637" max="5637" width="11.28515625" style="120" customWidth="1"/>
    <col min="5638" max="5638" width="8.7109375" style="120" customWidth="1"/>
    <col min="5639" max="5639" width="11.28515625" style="120" customWidth="1"/>
    <col min="5640" max="5644" width="10.7109375" style="120" customWidth="1"/>
    <col min="5645" max="5646" width="10.140625" style="120" customWidth="1"/>
    <col min="5647" max="5888" width="9.140625" style="120"/>
    <col min="5889" max="5889" width="5.5703125" style="120" bestFit="1" customWidth="1"/>
    <col min="5890" max="5890" width="26.42578125" style="120" customWidth="1"/>
    <col min="5891" max="5891" width="10.85546875" style="120" customWidth="1"/>
    <col min="5892" max="5892" width="10.140625" style="120" customWidth="1"/>
    <col min="5893" max="5893" width="11.28515625" style="120" customWidth="1"/>
    <col min="5894" max="5894" width="8.7109375" style="120" customWidth="1"/>
    <col min="5895" max="5895" width="11.28515625" style="120" customWidth="1"/>
    <col min="5896" max="5900" width="10.7109375" style="120" customWidth="1"/>
    <col min="5901" max="5902" width="10.140625" style="120" customWidth="1"/>
    <col min="5903" max="6144" width="9.140625" style="120"/>
    <col min="6145" max="6145" width="5.5703125" style="120" bestFit="1" customWidth="1"/>
    <col min="6146" max="6146" width="26.42578125" style="120" customWidth="1"/>
    <col min="6147" max="6147" width="10.85546875" style="120" customWidth="1"/>
    <col min="6148" max="6148" width="10.140625" style="120" customWidth="1"/>
    <col min="6149" max="6149" width="11.28515625" style="120" customWidth="1"/>
    <col min="6150" max="6150" width="8.7109375" style="120" customWidth="1"/>
    <col min="6151" max="6151" width="11.28515625" style="120" customWidth="1"/>
    <col min="6152" max="6156" width="10.7109375" style="120" customWidth="1"/>
    <col min="6157" max="6158" width="10.140625" style="120" customWidth="1"/>
    <col min="6159" max="6400" width="9.140625" style="120"/>
    <col min="6401" max="6401" width="5.5703125" style="120" bestFit="1" customWidth="1"/>
    <col min="6402" max="6402" width="26.42578125" style="120" customWidth="1"/>
    <col min="6403" max="6403" width="10.85546875" style="120" customWidth="1"/>
    <col min="6404" max="6404" width="10.140625" style="120" customWidth="1"/>
    <col min="6405" max="6405" width="11.28515625" style="120" customWidth="1"/>
    <col min="6406" max="6406" width="8.7109375" style="120" customWidth="1"/>
    <col min="6407" max="6407" width="11.28515625" style="120" customWidth="1"/>
    <col min="6408" max="6412" width="10.7109375" style="120" customWidth="1"/>
    <col min="6413" max="6414" width="10.140625" style="120" customWidth="1"/>
    <col min="6415" max="6656" width="9.140625" style="120"/>
    <col min="6657" max="6657" width="5.5703125" style="120" bestFit="1" customWidth="1"/>
    <col min="6658" max="6658" width="26.42578125" style="120" customWidth="1"/>
    <col min="6659" max="6659" width="10.85546875" style="120" customWidth="1"/>
    <col min="6660" max="6660" width="10.140625" style="120" customWidth="1"/>
    <col min="6661" max="6661" width="11.28515625" style="120" customWidth="1"/>
    <col min="6662" max="6662" width="8.7109375" style="120" customWidth="1"/>
    <col min="6663" max="6663" width="11.28515625" style="120" customWidth="1"/>
    <col min="6664" max="6668" width="10.7109375" style="120" customWidth="1"/>
    <col min="6669" max="6670" width="10.140625" style="120" customWidth="1"/>
    <col min="6671" max="6912" width="9.140625" style="120"/>
    <col min="6913" max="6913" width="5.5703125" style="120" bestFit="1" customWidth="1"/>
    <col min="6914" max="6914" width="26.42578125" style="120" customWidth="1"/>
    <col min="6915" max="6915" width="10.85546875" style="120" customWidth="1"/>
    <col min="6916" max="6916" width="10.140625" style="120" customWidth="1"/>
    <col min="6917" max="6917" width="11.28515625" style="120" customWidth="1"/>
    <col min="6918" max="6918" width="8.7109375" style="120" customWidth="1"/>
    <col min="6919" max="6919" width="11.28515625" style="120" customWidth="1"/>
    <col min="6920" max="6924" width="10.7109375" style="120" customWidth="1"/>
    <col min="6925" max="6926" width="10.140625" style="120" customWidth="1"/>
    <col min="6927" max="7168" width="9.140625" style="120"/>
    <col min="7169" max="7169" width="5.5703125" style="120" bestFit="1" customWidth="1"/>
    <col min="7170" max="7170" width="26.42578125" style="120" customWidth="1"/>
    <col min="7171" max="7171" width="10.85546875" style="120" customWidth="1"/>
    <col min="7172" max="7172" width="10.140625" style="120" customWidth="1"/>
    <col min="7173" max="7173" width="11.28515625" style="120" customWidth="1"/>
    <col min="7174" max="7174" width="8.7109375" style="120" customWidth="1"/>
    <col min="7175" max="7175" width="11.28515625" style="120" customWidth="1"/>
    <col min="7176" max="7180" width="10.7109375" style="120" customWidth="1"/>
    <col min="7181" max="7182" width="10.140625" style="120" customWidth="1"/>
    <col min="7183" max="7424" width="9.140625" style="120"/>
    <col min="7425" max="7425" width="5.5703125" style="120" bestFit="1" customWidth="1"/>
    <col min="7426" max="7426" width="26.42578125" style="120" customWidth="1"/>
    <col min="7427" max="7427" width="10.85546875" style="120" customWidth="1"/>
    <col min="7428" max="7428" width="10.140625" style="120" customWidth="1"/>
    <col min="7429" max="7429" width="11.28515625" style="120" customWidth="1"/>
    <col min="7430" max="7430" width="8.7109375" style="120" customWidth="1"/>
    <col min="7431" max="7431" width="11.28515625" style="120" customWidth="1"/>
    <col min="7432" max="7436" width="10.7109375" style="120" customWidth="1"/>
    <col min="7437" max="7438" width="10.140625" style="120" customWidth="1"/>
    <col min="7439" max="7680" width="9.140625" style="120"/>
    <col min="7681" max="7681" width="5.5703125" style="120" bestFit="1" customWidth="1"/>
    <col min="7682" max="7682" width="26.42578125" style="120" customWidth="1"/>
    <col min="7683" max="7683" width="10.85546875" style="120" customWidth="1"/>
    <col min="7684" max="7684" width="10.140625" style="120" customWidth="1"/>
    <col min="7685" max="7685" width="11.28515625" style="120" customWidth="1"/>
    <col min="7686" max="7686" width="8.7109375" style="120" customWidth="1"/>
    <col min="7687" max="7687" width="11.28515625" style="120" customWidth="1"/>
    <col min="7688" max="7692" width="10.7109375" style="120" customWidth="1"/>
    <col min="7693" max="7694" width="10.140625" style="120" customWidth="1"/>
    <col min="7695" max="7936" width="9.140625" style="120"/>
    <col min="7937" max="7937" width="5.5703125" style="120" bestFit="1" customWidth="1"/>
    <col min="7938" max="7938" width="26.42578125" style="120" customWidth="1"/>
    <col min="7939" max="7939" width="10.85546875" style="120" customWidth="1"/>
    <col min="7940" max="7940" width="10.140625" style="120" customWidth="1"/>
    <col min="7941" max="7941" width="11.28515625" style="120" customWidth="1"/>
    <col min="7942" max="7942" width="8.7109375" style="120" customWidth="1"/>
    <col min="7943" max="7943" width="11.28515625" style="120" customWidth="1"/>
    <col min="7944" max="7948" width="10.7109375" style="120" customWidth="1"/>
    <col min="7949" max="7950" width="10.140625" style="120" customWidth="1"/>
    <col min="7951" max="8192" width="9.140625" style="120"/>
    <col min="8193" max="8193" width="5.5703125" style="120" bestFit="1" customWidth="1"/>
    <col min="8194" max="8194" width="26.42578125" style="120" customWidth="1"/>
    <col min="8195" max="8195" width="10.85546875" style="120" customWidth="1"/>
    <col min="8196" max="8196" width="10.140625" style="120" customWidth="1"/>
    <col min="8197" max="8197" width="11.28515625" style="120" customWidth="1"/>
    <col min="8198" max="8198" width="8.7109375" style="120" customWidth="1"/>
    <col min="8199" max="8199" width="11.28515625" style="120" customWidth="1"/>
    <col min="8200" max="8204" width="10.7109375" style="120" customWidth="1"/>
    <col min="8205" max="8206" width="10.140625" style="120" customWidth="1"/>
    <col min="8207" max="8448" width="9.140625" style="120"/>
    <col min="8449" max="8449" width="5.5703125" style="120" bestFit="1" customWidth="1"/>
    <col min="8450" max="8450" width="26.42578125" style="120" customWidth="1"/>
    <col min="8451" max="8451" width="10.85546875" style="120" customWidth="1"/>
    <col min="8452" max="8452" width="10.140625" style="120" customWidth="1"/>
    <col min="8453" max="8453" width="11.28515625" style="120" customWidth="1"/>
    <col min="8454" max="8454" width="8.7109375" style="120" customWidth="1"/>
    <col min="8455" max="8455" width="11.28515625" style="120" customWidth="1"/>
    <col min="8456" max="8460" width="10.7109375" style="120" customWidth="1"/>
    <col min="8461" max="8462" width="10.140625" style="120" customWidth="1"/>
    <col min="8463" max="8704" width="9.140625" style="120"/>
    <col min="8705" max="8705" width="5.5703125" style="120" bestFit="1" customWidth="1"/>
    <col min="8706" max="8706" width="26.42578125" style="120" customWidth="1"/>
    <col min="8707" max="8707" width="10.85546875" style="120" customWidth="1"/>
    <col min="8708" max="8708" width="10.140625" style="120" customWidth="1"/>
    <col min="8709" max="8709" width="11.28515625" style="120" customWidth="1"/>
    <col min="8710" max="8710" width="8.7109375" style="120" customWidth="1"/>
    <col min="8711" max="8711" width="11.28515625" style="120" customWidth="1"/>
    <col min="8712" max="8716" width="10.7109375" style="120" customWidth="1"/>
    <col min="8717" max="8718" width="10.140625" style="120" customWidth="1"/>
    <col min="8719" max="8960" width="9.140625" style="120"/>
    <col min="8961" max="8961" width="5.5703125" style="120" bestFit="1" customWidth="1"/>
    <col min="8962" max="8962" width="26.42578125" style="120" customWidth="1"/>
    <col min="8963" max="8963" width="10.85546875" style="120" customWidth="1"/>
    <col min="8964" max="8964" width="10.140625" style="120" customWidth="1"/>
    <col min="8965" max="8965" width="11.28515625" style="120" customWidth="1"/>
    <col min="8966" max="8966" width="8.7109375" style="120" customWidth="1"/>
    <col min="8967" max="8967" width="11.28515625" style="120" customWidth="1"/>
    <col min="8968" max="8972" width="10.7109375" style="120" customWidth="1"/>
    <col min="8973" max="8974" width="10.140625" style="120" customWidth="1"/>
    <col min="8975" max="9216" width="9.140625" style="120"/>
    <col min="9217" max="9217" width="5.5703125" style="120" bestFit="1" customWidth="1"/>
    <col min="9218" max="9218" width="26.42578125" style="120" customWidth="1"/>
    <col min="9219" max="9219" width="10.85546875" style="120" customWidth="1"/>
    <col min="9220" max="9220" width="10.140625" style="120" customWidth="1"/>
    <col min="9221" max="9221" width="11.28515625" style="120" customWidth="1"/>
    <col min="9222" max="9222" width="8.7109375" style="120" customWidth="1"/>
    <col min="9223" max="9223" width="11.28515625" style="120" customWidth="1"/>
    <col min="9224" max="9228" width="10.7109375" style="120" customWidth="1"/>
    <col min="9229" max="9230" width="10.140625" style="120" customWidth="1"/>
    <col min="9231" max="9472" width="9.140625" style="120"/>
    <col min="9473" max="9473" width="5.5703125" style="120" bestFit="1" customWidth="1"/>
    <col min="9474" max="9474" width="26.42578125" style="120" customWidth="1"/>
    <col min="9475" max="9475" width="10.85546875" style="120" customWidth="1"/>
    <col min="9476" max="9476" width="10.140625" style="120" customWidth="1"/>
    <col min="9477" max="9477" width="11.28515625" style="120" customWidth="1"/>
    <col min="9478" max="9478" width="8.7109375" style="120" customWidth="1"/>
    <col min="9479" max="9479" width="11.28515625" style="120" customWidth="1"/>
    <col min="9480" max="9484" width="10.7109375" style="120" customWidth="1"/>
    <col min="9485" max="9486" width="10.140625" style="120" customWidth="1"/>
    <col min="9487" max="9728" width="9.140625" style="120"/>
    <col min="9729" max="9729" width="5.5703125" style="120" bestFit="1" customWidth="1"/>
    <col min="9730" max="9730" width="26.42578125" style="120" customWidth="1"/>
    <col min="9731" max="9731" width="10.85546875" style="120" customWidth="1"/>
    <col min="9732" max="9732" width="10.140625" style="120" customWidth="1"/>
    <col min="9733" max="9733" width="11.28515625" style="120" customWidth="1"/>
    <col min="9734" max="9734" width="8.7109375" style="120" customWidth="1"/>
    <col min="9735" max="9735" width="11.28515625" style="120" customWidth="1"/>
    <col min="9736" max="9740" width="10.7109375" style="120" customWidth="1"/>
    <col min="9741" max="9742" width="10.140625" style="120" customWidth="1"/>
    <col min="9743" max="9984" width="9.140625" style="120"/>
    <col min="9985" max="9985" width="5.5703125" style="120" bestFit="1" customWidth="1"/>
    <col min="9986" max="9986" width="26.42578125" style="120" customWidth="1"/>
    <col min="9987" max="9987" width="10.85546875" style="120" customWidth="1"/>
    <col min="9988" max="9988" width="10.140625" style="120" customWidth="1"/>
    <col min="9989" max="9989" width="11.28515625" style="120" customWidth="1"/>
    <col min="9990" max="9990" width="8.7109375" style="120" customWidth="1"/>
    <col min="9991" max="9991" width="11.28515625" style="120" customWidth="1"/>
    <col min="9992" max="9996" width="10.7109375" style="120" customWidth="1"/>
    <col min="9997" max="9998" width="10.140625" style="120" customWidth="1"/>
    <col min="9999" max="10240" width="9.140625" style="120"/>
    <col min="10241" max="10241" width="5.5703125" style="120" bestFit="1" customWidth="1"/>
    <col min="10242" max="10242" width="26.42578125" style="120" customWidth="1"/>
    <col min="10243" max="10243" width="10.85546875" style="120" customWidth="1"/>
    <col min="10244" max="10244" width="10.140625" style="120" customWidth="1"/>
    <col min="10245" max="10245" width="11.28515625" style="120" customWidth="1"/>
    <col min="10246" max="10246" width="8.7109375" style="120" customWidth="1"/>
    <col min="10247" max="10247" width="11.28515625" style="120" customWidth="1"/>
    <col min="10248" max="10252" width="10.7109375" style="120" customWidth="1"/>
    <col min="10253" max="10254" width="10.140625" style="120" customWidth="1"/>
    <col min="10255" max="10496" width="9.140625" style="120"/>
    <col min="10497" max="10497" width="5.5703125" style="120" bestFit="1" customWidth="1"/>
    <col min="10498" max="10498" width="26.42578125" style="120" customWidth="1"/>
    <col min="10499" max="10499" width="10.85546875" style="120" customWidth="1"/>
    <col min="10500" max="10500" width="10.140625" style="120" customWidth="1"/>
    <col min="10501" max="10501" width="11.28515625" style="120" customWidth="1"/>
    <col min="10502" max="10502" width="8.7109375" style="120" customWidth="1"/>
    <col min="10503" max="10503" width="11.28515625" style="120" customWidth="1"/>
    <col min="10504" max="10508" width="10.7109375" style="120" customWidth="1"/>
    <col min="10509" max="10510" width="10.140625" style="120" customWidth="1"/>
    <col min="10511" max="10752" width="9.140625" style="120"/>
    <col min="10753" max="10753" width="5.5703125" style="120" bestFit="1" customWidth="1"/>
    <col min="10754" max="10754" width="26.42578125" style="120" customWidth="1"/>
    <col min="10755" max="10755" width="10.85546875" style="120" customWidth="1"/>
    <col min="10756" max="10756" width="10.140625" style="120" customWidth="1"/>
    <col min="10757" max="10757" width="11.28515625" style="120" customWidth="1"/>
    <col min="10758" max="10758" width="8.7109375" style="120" customWidth="1"/>
    <col min="10759" max="10759" width="11.28515625" style="120" customWidth="1"/>
    <col min="10760" max="10764" width="10.7109375" style="120" customWidth="1"/>
    <col min="10765" max="10766" width="10.140625" style="120" customWidth="1"/>
    <col min="10767" max="11008" width="9.140625" style="120"/>
    <col min="11009" max="11009" width="5.5703125" style="120" bestFit="1" customWidth="1"/>
    <col min="11010" max="11010" width="26.42578125" style="120" customWidth="1"/>
    <col min="11011" max="11011" width="10.85546875" style="120" customWidth="1"/>
    <col min="11012" max="11012" width="10.140625" style="120" customWidth="1"/>
    <col min="11013" max="11013" width="11.28515625" style="120" customWidth="1"/>
    <col min="11014" max="11014" width="8.7109375" style="120" customWidth="1"/>
    <col min="11015" max="11015" width="11.28515625" style="120" customWidth="1"/>
    <col min="11016" max="11020" width="10.7109375" style="120" customWidth="1"/>
    <col min="11021" max="11022" width="10.140625" style="120" customWidth="1"/>
    <col min="11023" max="11264" width="9.140625" style="120"/>
    <col min="11265" max="11265" width="5.5703125" style="120" bestFit="1" customWidth="1"/>
    <col min="11266" max="11266" width="26.42578125" style="120" customWidth="1"/>
    <col min="11267" max="11267" width="10.85546875" style="120" customWidth="1"/>
    <col min="11268" max="11268" width="10.140625" style="120" customWidth="1"/>
    <col min="11269" max="11269" width="11.28515625" style="120" customWidth="1"/>
    <col min="11270" max="11270" width="8.7109375" style="120" customWidth="1"/>
    <col min="11271" max="11271" width="11.28515625" style="120" customWidth="1"/>
    <col min="11272" max="11276" width="10.7109375" style="120" customWidth="1"/>
    <col min="11277" max="11278" width="10.140625" style="120" customWidth="1"/>
    <col min="11279" max="11520" width="9.140625" style="120"/>
    <col min="11521" max="11521" width="5.5703125" style="120" bestFit="1" customWidth="1"/>
    <col min="11522" max="11522" width="26.42578125" style="120" customWidth="1"/>
    <col min="11523" max="11523" width="10.85546875" style="120" customWidth="1"/>
    <col min="11524" max="11524" width="10.140625" style="120" customWidth="1"/>
    <col min="11525" max="11525" width="11.28515625" style="120" customWidth="1"/>
    <col min="11526" max="11526" width="8.7109375" style="120" customWidth="1"/>
    <col min="11527" max="11527" width="11.28515625" style="120" customWidth="1"/>
    <col min="11528" max="11532" width="10.7109375" style="120" customWidth="1"/>
    <col min="11533" max="11534" width="10.140625" style="120" customWidth="1"/>
    <col min="11535" max="11776" width="9.140625" style="120"/>
    <col min="11777" max="11777" width="5.5703125" style="120" bestFit="1" customWidth="1"/>
    <col min="11778" max="11778" width="26.42578125" style="120" customWidth="1"/>
    <col min="11779" max="11779" width="10.85546875" style="120" customWidth="1"/>
    <col min="11780" max="11780" width="10.140625" style="120" customWidth="1"/>
    <col min="11781" max="11781" width="11.28515625" style="120" customWidth="1"/>
    <col min="11782" max="11782" width="8.7109375" style="120" customWidth="1"/>
    <col min="11783" max="11783" width="11.28515625" style="120" customWidth="1"/>
    <col min="11784" max="11788" width="10.7109375" style="120" customWidth="1"/>
    <col min="11789" max="11790" width="10.140625" style="120" customWidth="1"/>
    <col min="11791" max="12032" width="9.140625" style="120"/>
    <col min="12033" max="12033" width="5.5703125" style="120" bestFit="1" customWidth="1"/>
    <col min="12034" max="12034" width="26.42578125" style="120" customWidth="1"/>
    <col min="12035" max="12035" width="10.85546875" style="120" customWidth="1"/>
    <col min="12036" max="12036" width="10.140625" style="120" customWidth="1"/>
    <col min="12037" max="12037" width="11.28515625" style="120" customWidth="1"/>
    <col min="12038" max="12038" width="8.7109375" style="120" customWidth="1"/>
    <col min="12039" max="12039" width="11.28515625" style="120" customWidth="1"/>
    <col min="12040" max="12044" width="10.7109375" style="120" customWidth="1"/>
    <col min="12045" max="12046" width="10.140625" style="120" customWidth="1"/>
    <col min="12047" max="12288" width="9.140625" style="120"/>
    <col min="12289" max="12289" width="5.5703125" style="120" bestFit="1" customWidth="1"/>
    <col min="12290" max="12290" width="26.42578125" style="120" customWidth="1"/>
    <col min="12291" max="12291" width="10.85546875" style="120" customWidth="1"/>
    <col min="12292" max="12292" width="10.140625" style="120" customWidth="1"/>
    <col min="12293" max="12293" width="11.28515625" style="120" customWidth="1"/>
    <col min="12294" max="12294" width="8.7109375" style="120" customWidth="1"/>
    <col min="12295" max="12295" width="11.28515625" style="120" customWidth="1"/>
    <col min="12296" max="12300" width="10.7109375" style="120" customWidth="1"/>
    <col min="12301" max="12302" width="10.140625" style="120" customWidth="1"/>
    <col min="12303" max="12544" width="9.140625" style="120"/>
    <col min="12545" max="12545" width="5.5703125" style="120" bestFit="1" customWidth="1"/>
    <col min="12546" max="12546" width="26.42578125" style="120" customWidth="1"/>
    <col min="12547" max="12547" width="10.85546875" style="120" customWidth="1"/>
    <col min="12548" max="12548" width="10.140625" style="120" customWidth="1"/>
    <col min="12549" max="12549" width="11.28515625" style="120" customWidth="1"/>
    <col min="12550" max="12550" width="8.7109375" style="120" customWidth="1"/>
    <col min="12551" max="12551" width="11.28515625" style="120" customWidth="1"/>
    <col min="12552" max="12556" width="10.7109375" style="120" customWidth="1"/>
    <col min="12557" max="12558" width="10.140625" style="120" customWidth="1"/>
    <col min="12559" max="12800" width="9.140625" style="120"/>
    <col min="12801" max="12801" width="5.5703125" style="120" bestFit="1" customWidth="1"/>
    <col min="12802" max="12802" width="26.42578125" style="120" customWidth="1"/>
    <col min="12803" max="12803" width="10.85546875" style="120" customWidth="1"/>
    <col min="12804" max="12804" width="10.140625" style="120" customWidth="1"/>
    <col min="12805" max="12805" width="11.28515625" style="120" customWidth="1"/>
    <col min="12806" max="12806" width="8.7109375" style="120" customWidth="1"/>
    <col min="12807" max="12807" width="11.28515625" style="120" customWidth="1"/>
    <col min="12808" max="12812" width="10.7109375" style="120" customWidth="1"/>
    <col min="12813" max="12814" width="10.140625" style="120" customWidth="1"/>
    <col min="12815" max="13056" width="9.140625" style="120"/>
    <col min="13057" max="13057" width="5.5703125" style="120" bestFit="1" customWidth="1"/>
    <col min="13058" max="13058" width="26.42578125" style="120" customWidth="1"/>
    <col min="13059" max="13059" width="10.85546875" style="120" customWidth="1"/>
    <col min="13060" max="13060" width="10.140625" style="120" customWidth="1"/>
    <col min="13061" max="13061" width="11.28515625" style="120" customWidth="1"/>
    <col min="13062" max="13062" width="8.7109375" style="120" customWidth="1"/>
    <col min="13063" max="13063" width="11.28515625" style="120" customWidth="1"/>
    <col min="13064" max="13068" width="10.7109375" style="120" customWidth="1"/>
    <col min="13069" max="13070" width="10.140625" style="120" customWidth="1"/>
    <col min="13071" max="13312" width="9.140625" style="120"/>
    <col min="13313" max="13313" width="5.5703125" style="120" bestFit="1" customWidth="1"/>
    <col min="13314" max="13314" width="26.42578125" style="120" customWidth="1"/>
    <col min="13315" max="13315" width="10.85546875" style="120" customWidth="1"/>
    <col min="13316" max="13316" width="10.140625" style="120" customWidth="1"/>
    <col min="13317" max="13317" width="11.28515625" style="120" customWidth="1"/>
    <col min="13318" max="13318" width="8.7109375" style="120" customWidth="1"/>
    <col min="13319" max="13319" width="11.28515625" style="120" customWidth="1"/>
    <col min="13320" max="13324" width="10.7109375" style="120" customWidth="1"/>
    <col min="13325" max="13326" width="10.140625" style="120" customWidth="1"/>
    <col min="13327" max="13568" width="9.140625" style="120"/>
    <col min="13569" max="13569" width="5.5703125" style="120" bestFit="1" customWidth="1"/>
    <col min="13570" max="13570" width="26.42578125" style="120" customWidth="1"/>
    <col min="13571" max="13571" width="10.85546875" style="120" customWidth="1"/>
    <col min="13572" max="13572" width="10.140625" style="120" customWidth="1"/>
    <col min="13573" max="13573" width="11.28515625" style="120" customWidth="1"/>
    <col min="13574" max="13574" width="8.7109375" style="120" customWidth="1"/>
    <col min="13575" max="13575" width="11.28515625" style="120" customWidth="1"/>
    <col min="13576" max="13580" width="10.7109375" style="120" customWidth="1"/>
    <col min="13581" max="13582" width="10.140625" style="120" customWidth="1"/>
    <col min="13583" max="13824" width="9.140625" style="120"/>
    <col min="13825" max="13825" width="5.5703125" style="120" bestFit="1" customWidth="1"/>
    <col min="13826" max="13826" width="26.42578125" style="120" customWidth="1"/>
    <col min="13827" max="13827" width="10.85546875" style="120" customWidth="1"/>
    <col min="13828" max="13828" width="10.140625" style="120" customWidth="1"/>
    <col min="13829" max="13829" width="11.28515625" style="120" customWidth="1"/>
    <col min="13830" max="13830" width="8.7109375" style="120" customWidth="1"/>
    <col min="13831" max="13831" width="11.28515625" style="120" customWidth="1"/>
    <col min="13832" max="13836" width="10.7109375" style="120" customWidth="1"/>
    <col min="13837" max="13838" width="10.140625" style="120" customWidth="1"/>
    <col min="13839" max="14080" width="9.140625" style="120"/>
    <col min="14081" max="14081" width="5.5703125" style="120" bestFit="1" customWidth="1"/>
    <col min="14082" max="14082" width="26.42578125" style="120" customWidth="1"/>
    <col min="14083" max="14083" width="10.85546875" style="120" customWidth="1"/>
    <col min="14084" max="14084" width="10.140625" style="120" customWidth="1"/>
    <col min="14085" max="14085" width="11.28515625" style="120" customWidth="1"/>
    <col min="14086" max="14086" width="8.7109375" style="120" customWidth="1"/>
    <col min="14087" max="14087" width="11.28515625" style="120" customWidth="1"/>
    <col min="14088" max="14092" width="10.7109375" style="120" customWidth="1"/>
    <col min="14093" max="14094" width="10.140625" style="120" customWidth="1"/>
    <col min="14095" max="14336" width="9.140625" style="120"/>
    <col min="14337" max="14337" width="5.5703125" style="120" bestFit="1" customWidth="1"/>
    <col min="14338" max="14338" width="26.42578125" style="120" customWidth="1"/>
    <col min="14339" max="14339" width="10.85546875" style="120" customWidth="1"/>
    <col min="14340" max="14340" width="10.140625" style="120" customWidth="1"/>
    <col min="14341" max="14341" width="11.28515625" style="120" customWidth="1"/>
    <col min="14342" max="14342" width="8.7109375" style="120" customWidth="1"/>
    <col min="14343" max="14343" width="11.28515625" style="120" customWidth="1"/>
    <col min="14344" max="14348" width="10.7109375" style="120" customWidth="1"/>
    <col min="14349" max="14350" width="10.140625" style="120" customWidth="1"/>
    <col min="14351" max="14592" width="9.140625" style="120"/>
    <col min="14593" max="14593" width="5.5703125" style="120" bestFit="1" customWidth="1"/>
    <col min="14594" max="14594" width="26.42578125" style="120" customWidth="1"/>
    <col min="14595" max="14595" width="10.85546875" style="120" customWidth="1"/>
    <col min="14596" max="14596" width="10.140625" style="120" customWidth="1"/>
    <col min="14597" max="14597" width="11.28515625" style="120" customWidth="1"/>
    <col min="14598" max="14598" width="8.7109375" style="120" customWidth="1"/>
    <col min="14599" max="14599" width="11.28515625" style="120" customWidth="1"/>
    <col min="14600" max="14604" width="10.7109375" style="120" customWidth="1"/>
    <col min="14605" max="14606" width="10.140625" style="120" customWidth="1"/>
    <col min="14607" max="14848" width="9.140625" style="120"/>
    <col min="14849" max="14849" width="5.5703125" style="120" bestFit="1" customWidth="1"/>
    <col min="14850" max="14850" width="26.42578125" style="120" customWidth="1"/>
    <col min="14851" max="14851" width="10.85546875" style="120" customWidth="1"/>
    <col min="14852" max="14852" width="10.140625" style="120" customWidth="1"/>
    <col min="14853" max="14853" width="11.28515625" style="120" customWidth="1"/>
    <col min="14854" max="14854" width="8.7109375" style="120" customWidth="1"/>
    <col min="14855" max="14855" width="11.28515625" style="120" customWidth="1"/>
    <col min="14856" max="14860" width="10.7109375" style="120" customWidth="1"/>
    <col min="14861" max="14862" width="10.140625" style="120" customWidth="1"/>
    <col min="14863" max="15104" width="9.140625" style="120"/>
    <col min="15105" max="15105" width="5.5703125" style="120" bestFit="1" customWidth="1"/>
    <col min="15106" max="15106" width="26.42578125" style="120" customWidth="1"/>
    <col min="15107" max="15107" width="10.85546875" style="120" customWidth="1"/>
    <col min="15108" max="15108" width="10.140625" style="120" customWidth="1"/>
    <col min="15109" max="15109" width="11.28515625" style="120" customWidth="1"/>
    <col min="15110" max="15110" width="8.7109375" style="120" customWidth="1"/>
    <col min="15111" max="15111" width="11.28515625" style="120" customWidth="1"/>
    <col min="15112" max="15116" width="10.7109375" style="120" customWidth="1"/>
    <col min="15117" max="15118" width="10.140625" style="120" customWidth="1"/>
    <col min="15119" max="15360" width="9.140625" style="120"/>
    <col min="15361" max="15361" width="5.5703125" style="120" bestFit="1" customWidth="1"/>
    <col min="15362" max="15362" width="26.42578125" style="120" customWidth="1"/>
    <col min="15363" max="15363" width="10.85546875" style="120" customWidth="1"/>
    <col min="15364" max="15364" width="10.140625" style="120" customWidth="1"/>
    <col min="15365" max="15365" width="11.28515625" style="120" customWidth="1"/>
    <col min="15366" max="15366" width="8.7109375" style="120" customWidth="1"/>
    <col min="15367" max="15367" width="11.28515625" style="120" customWidth="1"/>
    <col min="15368" max="15372" width="10.7109375" style="120" customWidth="1"/>
    <col min="15373" max="15374" width="10.140625" style="120" customWidth="1"/>
    <col min="15375" max="15616" width="9.140625" style="120"/>
    <col min="15617" max="15617" width="5.5703125" style="120" bestFit="1" customWidth="1"/>
    <col min="15618" max="15618" width="26.42578125" style="120" customWidth="1"/>
    <col min="15619" max="15619" width="10.85546875" style="120" customWidth="1"/>
    <col min="15620" max="15620" width="10.140625" style="120" customWidth="1"/>
    <col min="15621" max="15621" width="11.28515625" style="120" customWidth="1"/>
    <col min="15622" max="15622" width="8.7109375" style="120" customWidth="1"/>
    <col min="15623" max="15623" width="11.28515625" style="120" customWidth="1"/>
    <col min="15624" max="15628" width="10.7109375" style="120" customWidth="1"/>
    <col min="15629" max="15630" width="10.140625" style="120" customWidth="1"/>
    <col min="15631" max="15872" width="9.140625" style="120"/>
    <col min="15873" max="15873" width="5.5703125" style="120" bestFit="1" customWidth="1"/>
    <col min="15874" max="15874" width="26.42578125" style="120" customWidth="1"/>
    <col min="15875" max="15875" width="10.85546875" style="120" customWidth="1"/>
    <col min="15876" max="15876" width="10.140625" style="120" customWidth="1"/>
    <col min="15877" max="15877" width="11.28515625" style="120" customWidth="1"/>
    <col min="15878" max="15878" width="8.7109375" style="120" customWidth="1"/>
    <col min="15879" max="15879" width="11.28515625" style="120" customWidth="1"/>
    <col min="15880" max="15884" width="10.7109375" style="120" customWidth="1"/>
    <col min="15885" max="15886" width="10.140625" style="120" customWidth="1"/>
    <col min="15887" max="16128" width="9.140625" style="120"/>
    <col min="16129" max="16129" width="5.5703125" style="120" bestFit="1" customWidth="1"/>
    <col min="16130" max="16130" width="26.42578125" style="120" customWidth="1"/>
    <col min="16131" max="16131" width="10.85546875" style="120" customWidth="1"/>
    <col min="16132" max="16132" width="10.140625" style="120" customWidth="1"/>
    <col min="16133" max="16133" width="11.28515625" style="120" customWidth="1"/>
    <col min="16134" max="16134" width="8.7109375" style="120" customWidth="1"/>
    <col min="16135" max="16135" width="11.28515625" style="120" customWidth="1"/>
    <col min="16136" max="16140" width="10.7109375" style="120" customWidth="1"/>
    <col min="16141" max="16142" width="10.140625" style="120" customWidth="1"/>
    <col min="16143" max="16384" width="9.140625" style="120"/>
  </cols>
  <sheetData>
    <row r="1" spans="1:69" s="114" customFormat="1" ht="18" customHeight="1" thickBot="1" x14ac:dyDescent="0.3">
      <c r="A1" s="105"/>
      <c r="B1" s="106" t="s">
        <v>99</v>
      </c>
      <c r="C1" s="107"/>
      <c r="D1" s="108"/>
      <c r="E1" s="109"/>
      <c r="F1" s="109"/>
      <c r="G1" s="109"/>
      <c r="H1" s="110"/>
      <c r="I1" s="110"/>
      <c r="J1" s="105" t="s">
        <v>0</v>
      </c>
      <c r="K1" s="109"/>
      <c r="L1" s="111"/>
      <c r="M1" s="112"/>
      <c r="N1" s="112"/>
      <c r="O1" s="112"/>
      <c r="P1" s="112"/>
      <c r="Q1" s="112"/>
      <c r="R1" s="112"/>
      <c r="S1" s="112"/>
      <c r="T1" s="112"/>
      <c r="U1" s="112"/>
      <c r="V1" s="112"/>
      <c r="W1" s="112"/>
      <c r="X1" s="112"/>
      <c r="Y1" s="112"/>
      <c r="Z1" s="112"/>
      <c r="AA1" s="112"/>
      <c r="AB1" s="112"/>
      <c r="AC1" s="112"/>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row>
    <row r="2" spans="1:69" x14ac:dyDescent="0.25">
      <c r="B2" s="115" t="s">
        <v>1</v>
      </c>
      <c r="C2" s="420"/>
      <c r="D2" s="117"/>
      <c r="E2" s="118"/>
      <c r="F2" s="118"/>
      <c r="G2" s="118"/>
      <c r="H2" s="110"/>
      <c r="I2" s="110"/>
      <c r="J2" s="110"/>
      <c r="K2" s="109"/>
      <c r="L2" s="111"/>
      <c r="O2" s="119"/>
      <c r="P2" s="119"/>
      <c r="Q2" s="119"/>
      <c r="R2" s="119"/>
    </row>
    <row r="3" spans="1:69" x14ac:dyDescent="0.25">
      <c r="B3" s="121" t="s">
        <v>2</v>
      </c>
      <c r="C3" s="116"/>
      <c r="D3" s="117"/>
      <c r="E3" s="118"/>
      <c r="F3" s="118"/>
      <c r="G3" s="118"/>
      <c r="H3" s="110"/>
      <c r="I3" s="110"/>
      <c r="J3" s="110"/>
      <c r="K3" s="109"/>
      <c r="L3" s="111"/>
      <c r="O3" s="119"/>
      <c r="P3" s="119"/>
      <c r="Q3" s="119"/>
      <c r="R3" s="119"/>
    </row>
    <row r="4" spans="1:69" ht="15.75" thickBot="1" x14ac:dyDescent="0.3">
      <c r="B4" s="122" t="s">
        <v>3</v>
      </c>
      <c r="C4" s="116"/>
      <c r="D4" s="117"/>
      <c r="E4" s="123"/>
      <c r="F4" s="123"/>
      <c r="G4" s="118"/>
      <c r="H4" s="110"/>
      <c r="I4" s="110"/>
      <c r="J4" s="110"/>
      <c r="K4" s="109"/>
      <c r="L4" s="111"/>
      <c r="O4" s="119"/>
      <c r="P4" s="119"/>
      <c r="Q4" s="119"/>
      <c r="R4" s="119"/>
    </row>
    <row r="5" spans="1:69" ht="15" hidden="1" customHeight="1" x14ac:dyDescent="0.3">
      <c r="B5" s="124" t="s">
        <v>4</v>
      </c>
      <c r="C5" s="124"/>
      <c r="D5" s="124"/>
      <c r="E5" s="125"/>
      <c r="F5" s="125"/>
      <c r="G5" s="125"/>
      <c r="H5" s="126" t="s">
        <v>3</v>
      </c>
      <c r="I5" s="126" t="s">
        <v>3</v>
      </c>
      <c r="J5" s="126" t="s">
        <v>3</v>
      </c>
      <c r="K5" s="125"/>
      <c r="L5" s="125"/>
    </row>
    <row r="6" spans="1:69" hidden="1" x14ac:dyDescent="0.25">
      <c r="B6" s="127" t="s">
        <v>5</v>
      </c>
      <c r="C6" s="128"/>
      <c r="D6" s="128"/>
      <c r="E6" s="129">
        <v>0</v>
      </c>
      <c r="F6" s="129"/>
      <c r="G6" s="129"/>
      <c r="H6" s="129">
        <v>0.38</v>
      </c>
      <c r="I6" s="129">
        <v>1</v>
      </c>
      <c r="J6" s="129">
        <v>30</v>
      </c>
      <c r="K6" s="129">
        <v>0.08</v>
      </c>
      <c r="L6" s="129">
        <v>0.17</v>
      </c>
    </row>
    <row r="7" spans="1:69" hidden="1" x14ac:dyDescent="0.25">
      <c r="B7" s="130" t="s">
        <v>6</v>
      </c>
      <c r="C7" s="131"/>
      <c r="D7" s="131"/>
      <c r="E7" s="132">
        <v>1</v>
      </c>
      <c r="F7" s="132"/>
      <c r="G7" s="132"/>
      <c r="H7" s="132">
        <v>0.5</v>
      </c>
      <c r="I7" s="132">
        <v>1.5</v>
      </c>
      <c r="J7" s="132">
        <v>3.75</v>
      </c>
      <c r="K7" s="132">
        <v>0.08</v>
      </c>
      <c r="L7" s="132">
        <v>0.17</v>
      </c>
    </row>
    <row r="8" spans="1:69" hidden="1" x14ac:dyDescent="0.25">
      <c r="B8" s="130" t="s">
        <v>7</v>
      </c>
      <c r="C8" s="131"/>
      <c r="D8" s="131"/>
      <c r="E8" s="132">
        <v>0.5</v>
      </c>
      <c r="F8" s="132"/>
      <c r="G8" s="132"/>
      <c r="H8" s="132">
        <v>0</v>
      </c>
      <c r="I8" s="132">
        <v>0</v>
      </c>
      <c r="J8" s="132">
        <v>4</v>
      </c>
      <c r="K8" s="132">
        <v>0</v>
      </c>
      <c r="L8" s="132">
        <v>0</v>
      </c>
    </row>
    <row r="9" spans="1:69" hidden="1" x14ac:dyDescent="0.25">
      <c r="B9" s="130" t="s">
        <v>8</v>
      </c>
      <c r="C9" s="131"/>
      <c r="D9" s="131"/>
      <c r="E9" s="132">
        <v>0</v>
      </c>
      <c r="F9" s="132"/>
      <c r="G9" s="132"/>
      <c r="H9" s="132">
        <v>0</v>
      </c>
      <c r="I9" s="132">
        <v>0</v>
      </c>
      <c r="J9" s="132">
        <v>0</v>
      </c>
      <c r="K9" s="132">
        <v>0</v>
      </c>
      <c r="L9" s="132">
        <v>0</v>
      </c>
    </row>
    <row r="10" spans="1:69" hidden="1" x14ac:dyDescent="0.25">
      <c r="B10" s="130" t="s">
        <v>9</v>
      </c>
      <c r="C10" s="131"/>
      <c r="D10" s="131"/>
      <c r="E10" s="132">
        <v>0</v>
      </c>
      <c r="F10" s="132"/>
      <c r="G10" s="132"/>
      <c r="H10" s="132">
        <v>0</v>
      </c>
      <c r="I10" s="132">
        <v>0</v>
      </c>
      <c r="J10" s="132">
        <v>0</v>
      </c>
      <c r="K10" s="132">
        <v>0</v>
      </c>
      <c r="L10" s="132">
        <v>0</v>
      </c>
    </row>
    <row r="11" spans="1:69" hidden="1" x14ac:dyDescent="0.25">
      <c r="B11" s="133" t="s">
        <v>10</v>
      </c>
      <c r="C11" s="134"/>
      <c r="D11" s="134"/>
      <c r="E11" s="132">
        <v>0</v>
      </c>
      <c r="F11" s="132"/>
      <c r="G11" s="132"/>
      <c r="H11" s="132">
        <v>0</v>
      </c>
      <c r="I11" s="132">
        <v>0</v>
      </c>
      <c r="J11" s="132">
        <v>0.67</v>
      </c>
      <c r="K11" s="132">
        <v>0</v>
      </c>
      <c r="L11" s="132">
        <v>0</v>
      </c>
    </row>
    <row r="12" spans="1:69" hidden="1" x14ac:dyDescent="0.25">
      <c r="B12" s="135" t="s">
        <v>11</v>
      </c>
      <c r="C12" s="136"/>
      <c r="D12" s="136"/>
      <c r="E12" s="137">
        <v>0.67</v>
      </c>
      <c r="F12" s="137"/>
      <c r="G12" s="137"/>
      <c r="H12" s="137">
        <v>0.67</v>
      </c>
      <c r="I12" s="137">
        <v>0.67</v>
      </c>
      <c r="J12" s="137">
        <v>0.27</v>
      </c>
      <c r="K12" s="137">
        <v>0</v>
      </c>
      <c r="L12" s="137">
        <v>0</v>
      </c>
    </row>
    <row r="13" spans="1:69" x14ac:dyDescent="0.25">
      <c r="B13" s="138"/>
      <c r="C13" s="138"/>
      <c r="D13" s="138"/>
      <c r="E13" s="125"/>
      <c r="F13" s="125"/>
      <c r="G13" s="125"/>
      <c r="H13" s="125"/>
      <c r="I13" s="125"/>
      <c r="J13" s="125"/>
      <c r="K13" s="125"/>
      <c r="L13" s="125"/>
    </row>
    <row r="14" spans="1:69" ht="15.75" thickBot="1" x14ac:dyDescent="0.3">
      <c r="B14" s="138"/>
      <c r="C14" s="138"/>
      <c r="D14" s="138"/>
      <c r="E14" s="125"/>
      <c r="F14" s="125"/>
      <c r="G14" s="125"/>
      <c r="H14" s="125"/>
      <c r="I14" s="125"/>
      <c r="J14" s="125"/>
      <c r="K14" s="125"/>
      <c r="L14" s="125"/>
    </row>
    <row r="15" spans="1:69" ht="15.75" thickBot="1" x14ac:dyDescent="0.3">
      <c r="B15" s="139" t="s">
        <v>210</v>
      </c>
      <c r="C15" s="140" t="s">
        <v>504</v>
      </c>
      <c r="D15" s="141" t="s">
        <v>209</v>
      </c>
      <c r="E15" s="141" t="s">
        <v>505</v>
      </c>
      <c r="F15" s="125"/>
      <c r="G15" s="125"/>
      <c r="H15" s="125"/>
      <c r="I15" s="125"/>
      <c r="J15" s="125"/>
      <c r="K15" s="125"/>
      <c r="L15" s="125"/>
    </row>
    <row r="16" spans="1:69" ht="15.75" thickBot="1" x14ac:dyDescent="0.3">
      <c r="B16" s="142" t="str">
        <f>'Set up'!B18</f>
        <v>Abbott M2000 RealTime</v>
      </c>
      <c r="C16" s="57" t="s">
        <v>54</v>
      </c>
      <c r="D16" s="405">
        <v>5</v>
      </c>
      <c r="E16" s="143" t="str">
        <f>IFERROR(C16/D16/'Set up'!D18, "")</f>
        <v/>
      </c>
      <c r="F16" s="125"/>
      <c r="G16" s="125"/>
      <c r="H16" s="125"/>
      <c r="I16" s="125"/>
      <c r="J16" s="125"/>
      <c r="K16" s="125"/>
      <c r="L16" s="125"/>
    </row>
    <row r="17" spans="1:29" ht="15.75" thickBot="1" x14ac:dyDescent="0.3">
      <c r="B17" s="144" t="str">
        <f>'Set up'!B19</f>
        <v>Abbott M2000 RealTime</v>
      </c>
      <c r="C17" s="57">
        <v>50750</v>
      </c>
      <c r="D17" s="406">
        <v>5</v>
      </c>
      <c r="E17" s="143">
        <f>IFERROR(C17/D17/'Set up'!D19, "")</f>
        <v>0.21827956989247313</v>
      </c>
      <c r="F17" s="125"/>
      <c r="G17" s="125"/>
      <c r="H17" s="125"/>
      <c r="I17" s="125"/>
      <c r="J17" s="125"/>
      <c r="K17" s="125"/>
      <c r="L17" s="125"/>
    </row>
    <row r="18" spans="1:29" ht="15.75" thickBot="1" x14ac:dyDescent="0.3">
      <c r="B18" s="144" t="str">
        <f>'Set up'!B20</f>
        <v>Roche COBAS Ampliprep/TaqMan 48</v>
      </c>
      <c r="C18" s="57" t="s">
        <v>54</v>
      </c>
      <c r="D18" s="406">
        <v>5</v>
      </c>
      <c r="E18" s="143" t="str">
        <f>IFERROR(C18/D18/'Set up'!D20, "")</f>
        <v/>
      </c>
      <c r="F18" s="125"/>
      <c r="G18" s="125"/>
      <c r="H18" s="125"/>
      <c r="I18" s="125"/>
      <c r="J18" s="125"/>
      <c r="K18" s="125"/>
      <c r="L18" s="125"/>
    </row>
    <row r="19" spans="1:29" x14ac:dyDescent="0.25">
      <c r="B19" s="145" t="str">
        <f>'Set up'!B21</f>
        <v>Roche COBAS Ampliprep/TaqMan 48</v>
      </c>
      <c r="C19" s="57">
        <v>90000</v>
      </c>
      <c r="D19" s="406">
        <v>5</v>
      </c>
      <c r="E19" s="143">
        <f>IFERROR(C19/D19/'Set up'!D21, "")</f>
        <v>0.42857142857142855</v>
      </c>
      <c r="F19" s="125"/>
      <c r="G19" s="125"/>
      <c r="H19" s="125"/>
      <c r="I19" s="125"/>
      <c r="J19" s="125"/>
      <c r="K19" s="125"/>
      <c r="L19" s="125"/>
    </row>
    <row r="20" spans="1:29" x14ac:dyDescent="0.25">
      <c r="B20" s="138"/>
      <c r="C20" s="138"/>
      <c r="D20" s="138"/>
      <c r="E20" s="125"/>
      <c r="F20" s="125"/>
      <c r="G20" s="125"/>
      <c r="H20" s="125"/>
      <c r="I20" s="125"/>
      <c r="J20" s="125"/>
      <c r="K20" s="125"/>
      <c r="L20" s="125"/>
    </row>
    <row r="21" spans="1:29" s="112" customFormat="1" x14ac:dyDescent="0.25"/>
    <row r="22" spans="1:29" ht="24.6" customHeight="1" x14ac:dyDescent="0.25">
      <c r="B22" s="443" t="s">
        <v>12</v>
      </c>
      <c r="C22" s="443"/>
      <c r="D22" s="443"/>
      <c r="E22" s="443"/>
      <c r="F22" s="443"/>
      <c r="G22" s="443"/>
      <c r="H22" s="443"/>
      <c r="I22" s="146"/>
      <c r="J22" s="147"/>
      <c r="K22" s="147"/>
      <c r="L22" s="147"/>
    </row>
    <row r="23" spans="1:29" s="112" customFormat="1" ht="15.75" thickBot="1" x14ac:dyDescent="0.3"/>
    <row r="24" spans="1:29" s="155" customFormat="1" ht="43.9" customHeight="1" thickBot="1" x14ac:dyDescent="0.3">
      <c r="A24" s="148"/>
      <c r="B24" s="149" t="s">
        <v>101</v>
      </c>
      <c r="C24" s="150" t="s">
        <v>227</v>
      </c>
      <c r="D24" s="151" t="s">
        <v>93</v>
      </c>
      <c r="E24" s="152" t="s">
        <v>228</v>
      </c>
      <c r="F24" s="152" t="s">
        <v>229</v>
      </c>
      <c r="G24" s="152" t="s">
        <v>94</v>
      </c>
      <c r="H24" s="153" t="s">
        <v>95</v>
      </c>
      <c r="I24" s="154" t="s">
        <v>96</v>
      </c>
      <c r="J24" s="148"/>
      <c r="K24" s="148"/>
      <c r="L24" s="148"/>
      <c r="M24" s="148"/>
      <c r="N24" s="148"/>
      <c r="O24" s="148"/>
      <c r="P24" s="148"/>
      <c r="Q24" s="148"/>
      <c r="R24" s="148"/>
      <c r="S24" s="148"/>
      <c r="T24" s="148"/>
      <c r="U24" s="148"/>
      <c r="V24" s="148"/>
      <c r="W24" s="148"/>
      <c r="X24" s="148"/>
      <c r="Y24" s="148"/>
      <c r="Z24" s="148"/>
    </row>
    <row r="25" spans="1:29" s="158" customFormat="1" ht="12.6" customHeight="1" x14ac:dyDescent="0.25">
      <c r="A25" s="112"/>
      <c r="B25" s="53" t="s">
        <v>13</v>
      </c>
      <c r="C25" s="57">
        <v>784992</v>
      </c>
      <c r="D25" s="92">
        <f>C25/'Set up'!C9</f>
        <v>7726.2992125984256</v>
      </c>
      <c r="E25" s="58">
        <f t="shared" ref="E25:E37" si="0">0.1*D25</f>
        <v>772.6299212598426</v>
      </c>
      <c r="F25" s="58">
        <f t="shared" ref="F25:F38" si="1">IF(D25&gt;0,(D25+E25),0)</f>
        <v>8498.929133858268</v>
      </c>
      <c r="G25" s="54">
        <v>40</v>
      </c>
      <c r="H25" s="54">
        <v>48</v>
      </c>
      <c r="I25" s="94">
        <f>F25/G25/H25</f>
        <v>4.4265255905511811</v>
      </c>
      <c r="J25" s="112"/>
      <c r="K25" s="157"/>
      <c r="L25" s="157"/>
      <c r="M25" s="157"/>
      <c r="N25" s="157"/>
      <c r="O25" s="157"/>
      <c r="P25" s="112"/>
      <c r="Q25" s="112"/>
      <c r="R25" s="112"/>
      <c r="S25" s="112"/>
      <c r="T25" s="112"/>
      <c r="U25" s="112"/>
      <c r="V25" s="112"/>
      <c r="W25" s="112"/>
      <c r="X25" s="112"/>
      <c r="Y25" s="112"/>
      <c r="Z25" s="112"/>
    </row>
    <row r="26" spans="1:29" s="158" customFormat="1" ht="12.6" customHeight="1" x14ac:dyDescent="0.25">
      <c r="A26" s="112"/>
      <c r="B26" s="4" t="s">
        <v>14</v>
      </c>
      <c r="C26" s="159">
        <v>420828.21600000001</v>
      </c>
      <c r="D26" s="92">
        <f>C26/'Set up'!C9</f>
        <v>4142.01</v>
      </c>
      <c r="E26" s="59">
        <f t="shared" si="0"/>
        <v>414.20100000000002</v>
      </c>
      <c r="F26" s="59">
        <f t="shared" si="1"/>
        <v>4556.2110000000002</v>
      </c>
      <c r="G26" s="6">
        <v>40</v>
      </c>
      <c r="H26" s="6">
        <v>48</v>
      </c>
      <c r="I26" s="95">
        <f t="shared" ref="I26:I37" si="2">F26/G26/H26</f>
        <v>2.3730265625000002</v>
      </c>
      <c r="J26" s="112"/>
      <c r="K26" s="157"/>
      <c r="L26" s="157"/>
      <c r="M26" s="157"/>
      <c r="N26" s="157"/>
      <c r="O26" s="157"/>
      <c r="P26" s="112"/>
      <c r="Q26" s="112"/>
      <c r="R26" s="112"/>
      <c r="S26" s="112"/>
      <c r="T26" s="112"/>
      <c r="U26" s="112"/>
      <c r="V26" s="112"/>
      <c r="W26" s="112"/>
      <c r="X26" s="112"/>
      <c r="Y26" s="112"/>
      <c r="Z26" s="112"/>
    </row>
    <row r="27" spans="1:29" x14ac:dyDescent="0.25">
      <c r="B27" s="4" t="s">
        <v>15</v>
      </c>
      <c r="C27" s="159">
        <v>2284497.3360000001</v>
      </c>
      <c r="D27" s="92">
        <f>C27/'Set up'!C9</f>
        <v>22485.210000000003</v>
      </c>
      <c r="E27" s="59">
        <f t="shared" si="0"/>
        <v>2248.5210000000002</v>
      </c>
      <c r="F27" s="59">
        <f t="shared" si="1"/>
        <v>24733.731000000003</v>
      </c>
      <c r="G27" s="6">
        <v>40</v>
      </c>
      <c r="H27" s="6">
        <v>48</v>
      </c>
      <c r="I27" s="95">
        <f t="shared" si="2"/>
        <v>12.882151562500001</v>
      </c>
      <c r="J27" s="112"/>
      <c r="K27" s="157"/>
      <c r="L27" s="157"/>
      <c r="M27" s="157"/>
      <c r="N27" s="157"/>
      <c r="O27" s="157"/>
      <c r="AA27" s="120"/>
      <c r="AB27" s="120"/>
      <c r="AC27" s="120"/>
    </row>
    <row r="28" spans="1:29" ht="12.6" customHeight="1" x14ac:dyDescent="0.25">
      <c r="B28" s="4" t="s">
        <v>16</v>
      </c>
      <c r="C28" s="159">
        <v>841675.73600000003</v>
      </c>
      <c r="D28" s="92">
        <f>C28/'Set up'!C9</f>
        <v>8284.2100000000009</v>
      </c>
      <c r="E28" s="59">
        <f t="shared" si="0"/>
        <v>828.42100000000016</v>
      </c>
      <c r="F28" s="59">
        <f t="shared" si="1"/>
        <v>9112.6310000000012</v>
      </c>
      <c r="G28" s="6">
        <v>40</v>
      </c>
      <c r="H28" s="6">
        <v>48</v>
      </c>
      <c r="I28" s="95">
        <f t="shared" si="2"/>
        <v>4.7461619791666676</v>
      </c>
      <c r="J28" s="112"/>
      <c r="K28" s="157"/>
      <c r="L28" s="157"/>
      <c r="M28" s="157"/>
      <c r="N28" s="157"/>
      <c r="O28" s="157"/>
      <c r="AA28" s="120"/>
      <c r="AB28" s="120"/>
      <c r="AC28" s="120"/>
    </row>
    <row r="29" spans="1:29" ht="12.6" customHeight="1" x14ac:dyDescent="0.25">
      <c r="B29" s="4" t="s">
        <v>17</v>
      </c>
      <c r="C29" s="159">
        <v>420828.21600000001</v>
      </c>
      <c r="D29" s="92">
        <f>C29/'Set up'!C9</f>
        <v>4142.01</v>
      </c>
      <c r="E29" s="59">
        <f t="shared" si="0"/>
        <v>414.20100000000002</v>
      </c>
      <c r="F29" s="59">
        <f t="shared" si="1"/>
        <v>4556.2110000000002</v>
      </c>
      <c r="G29" s="6">
        <v>40</v>
      </c>
      <c r="H29" s="6">
        <v>48</v>
      </c>
      <c r="I29" s="95">
        <f t="shared" si="2"/>
        <v>2.3730265625000002</v>
      </c>
      <c r="J29" s="112"/>
      <c r="K29" s="157"/>
      <c r="L29" s="157"/>
      <c r="M29" s="157"/>
      <c r="N29" s="157"/>
      <c r="O29" s="157"/>
      <c r="AA29" s="120"/>
      <c r="AB29" s="120"/>
      <c r="AC29" s="120"/>
    </row>
    <row r="30" spans="1:29" x14ac:dyDescent="0.25">
      <c r="B30" s="4" t="s">
        <v>18</v>
      </c>
      <c r="C30" s="159">
        <v>541064.70400000003</v>
      </c>
      <c r="D30" s="92">
        <f>C30/'Set up'!C9</f>
        <v>5325.4400000000005</v>
      </c>
      <c r="E30" s="59">
        <f t="shared" si="0"/>
        <v>532.5440000000001</v>
      </c>
      <c r="F30" s="59">
        <f t="shared" si="1"/>
        <v>5857.9840000000004</v>
      </c>
      <c r="G30" s="6">
        <v>40</v>
      </c>
      <c r="H30" s="6">
        <v>48</v>
      </c>
      <c r="I30" s="95">
        <f t="shared" si="2"/>
        <v>3.0510333333333333</v>
      </c>
      <c r="J30" s="112"/>
      <c r="K30" s="119"/>
      <c r="L30" s="119"/>
      <c r="M30" s="119"/>
      <c r="N30" s="119"/>
      <c r="O30" s="119"/>
      <c r="AA30" s="120"/>
      <c r="AB30" s="120"/>
      <c r="AC30" s="120"/>
    </row>
    <row r="31" spans="1:29" x14ac:dyDescent="0.25">
      <c r="B31" s="4" t="s">
        <v>19</v>
      </c>
      <c r="C31" s="159">
        <v>721419.94400000002</v>
      </c>
      <c r="D31" s="92">
        <f>C31/'Set up'!C9</f>
        <v>7100.59</v>
      </c>
      <c r="E31" s="59">
        <f t="shared" si="0"/>
        <v>710.05900000000008</v>
      </c>
      <c r="F31" s="59">
        <f t="shared" si="1"/>
        <v>7810.6490000000003</v>
      </c>
      <c r="G31" s="6">
        <v>40</v>
      </c>
      <c r="H31" s="6">
        <v>48</v>
      </c>
      <c r="I31" s="95">
        <f t="shared" si="2"/>
        <v>4.0680463541666674</v>
      </c>
      <c r="J31" s="112"/>
      <c r="K31" s="119"/>
      <c r="L31" s="119"/>
      <c r="M31" s="119"/>
      <c r="N31" s="119"/>
      <c r="O31" s="119"/>
      <c r="AA31" s="120"/>
      <c r="AB31" s="120"/>
      <c r="AC31" s="120"/>
    </row>
    <row r="32" spans="1:29" x14ac:dyDescent="0.25">
      <c r="B32" s="4" t="s">
        <v>20</v>
      </c>
      <c r="C32" s="57">
        <v>1378520.5</v>
      </c>
      <c r="D32" s="92">
        <f>C32/'Set up'!C9</f>
        <v>13568.115157480315</v>
      </c>
      <c r="E32" s="59">
        <f t="shared" si="0"/>
        <v>1356.8115157480315</v>
      </c>
      <c r="F32" s="59">
        <f t="shared" si="1"/>
        <v>14924.926673228347</v>
      </c>
      <c r="G32" s="6">
        <v>40</v>
      </c>
      <c r="H32" s="6">
        <v>48</v>
      </c>
      <c r="I32" s="95">
        <f t="shared" si="2"/>
        <v>7.7733993089730973</v>
      </c>
      <c r="J32" s="112"/>
      <c r="K32" s="119"/>
      <c r="L32" s="119"/>
      <c r="M32" s="119"/>
      <c r="N32" s="119"/>
      <c r="O32" s="119"/>
      <c r="AA32" s="120"/>
      <c r="AB32" s="120"/>
      <c r="AC32" s="120"/>
    </row>
    <row r="33" spans="2:29" ht="15.75" thickBot="1" x14ac:dyDescent="0.3">
      <c r="B33" s="4" t="s">
        <v>21</v>
      </c>
      <c r="C33" s="159">
        <v>420828.22</v>
      </c>
      <c r="D33" s="92">
        <f>C33/'Set up'!C9</f>
        <v>4142.0100393700786</v>
      </c>
      <c r="E33" s="59">
        <f t="shared" si="0"/>
        <v>414.2010039370079</v>
      </c>
      <c r="F33" s="59">
        <f t="shared" si="1"/>
        <v>4556.2110433070866</v>
      </c>
      <c r="G33" s="6">
        <v>40</v>
      </c>
      <c r="H33" s="6">
        <v>48</v>
      </c>
      <c r="I33" s="95">
        <f t="shared" si="2"/>
        <v>2.3730265850557744</v>
      </c>
      <c r="J33" s="112"/>
      <c r="K33" s="119"/>
      <c r="L33" s="119"/>
      <c r="M33" s="119"/>
      <c r="N33" s="119"/>
      <c r="O33" s="119"/>
      <c r="AA33" s="120"/>
      <c r="AB33" s="120"/>
      <c r="AC33" s="120"/>
    </row>
    <row r="34" spans="2:29" x14ac:dyDescent="0.25">
      <c r="B34" s="4" t="s">
        <v>22</v>
      </c>
      <c r="C34" s="156">
        <v>721419.94400000002</v>
      </c>
      <c r="D34" s="92">
        <f>C34/'Set up'!C9</f>
        <v>7100.59</v>
      </c>
      <c r="E34" s="59">
        <f t="shared" si="0"/>
        <v>710.05900000000008</v>
      </c>
      <c r="F34" s="59">
        <f t="shared" si="1"/>
        <v>7810.6490000000003</v>
      </c>
      <c r="G34" s="6">
        <v>40</v>
      </c>
      <c r="H34" s="6">
        <v>48</v>
      </c>
      <c r="I34" s="95">
        <f t="shared" si="2"/>
        <v>4.0680463541666674</v>
      </c>
      <c r="J34" s="112"/>
      <c r="K34" s="119"/>
      <c r="L34" s="119"/>
      <c r="M34" s="119"/>
      <c r="N34" s="119"/>
      <c r="O34" s="119"/>
      <c r="AA34" s="120"/>
      <c r="AB34" s="120"/>
      <c r="AC34" s="120"/>
    </row>
    <row r="35" spans="2:29" x14ac:dyDescent="0.25">
      <c r="B35" s="4" t="s">
        <v>23</v>
      </c>
      <c r="C35" s="159">
        <v>1683313.88</v>
      </c>
      <c r="D35" s="92">
        <f>C35/'Set up'!C9</f>
        <v>16568.05</v>
      </c>
      <c r="E35" s="59">
        <f t="shared" si="0"/>
        <v>1656.8050000000001</v>
      </c>
      <c r="F35" s="59">
        <f t="shared" si="1"/>
        <v>18224.855</v>
      </c>
      <c r="G35" s="6">
        <v>40</v>
      </c>
      <c r="H35" s="6">
        <v>48</v>
      </c>
      <c r="I35" s="95">
        <f t="shared" si="2"/>
        <v>9.4921119791666673</v>
      </c>
      <c r="J35" s="112"/>
      <c r="K35" s="119"/>
      <c r="L35" s="119"/>
      <c r="M35" s="119"/>
      <c r="N35" s="119"/>
      <c r="O35" s="119"/>
      <c r="AA35" s="120"/>
      <c r="AB35" s="120"/>
      <c r="AC35" s="120"/>
    </row>
    <row r="36" spans="2:29" x14ac:dyDescent="0.25">
      <c r="B36" s="4" t="s">
        <v>24</v>
      </c>
      <c r="C36" s="159">
        <v>2885680.7919999999</v>
      </c>
      <c r="D36" s="92">
        <f>C36/'Set up'!C9</f>
        <v>28402.37</v>
      </c>
      <c r="E36" s="59">
        <f t="shared" si="0"/>
        <v>2840.2370000000001</v>
      </c>
      <c r="F36" s="59">
        <f t="shared" si="1"/>
        <v>31242.607</v>
      </c>
      <c r="G36" s="6">
        <v>40</v>
      </c>
      <c r="H36" s="6">
        <v>48</v>
      </c>
      <c r="I36" s="95">
        <f t="shared" si="2"/>
        <v>16.272191145833332</v>
      </c>
      <c r="J36" s="112"/>
      <c r="K36" s="119"/>
      <c r="L36" s="119"/>
      <c r="M36" s="119"/>
      <c r="N36" s="119"/>
      <c r="O36" s="119"/>
      <c r="AA36" s="120"/>
      <c r="AB36" s="120"/>
      <c r="AC36" s="120"/>
    </row>
    <row r="37" spans="2:29" x14ac:dyDescent="0.25">
      <c r="B37" s="4" t="s">
        <v>25</v>
      </c>
      <c r="C37" s="159">
        <v>3126153.7680000002</v>
      </c>
      <c r="D37" s="92">
        <f>C37/'Set up'!C9</f>
        <v>30769.230000000003</v>
      </c>
      <c r="E37" s="59">
        <f t="shared" si="0"/>
        <v>3076.9230000000007</v>
      </c>
      <c r="F37" s="59">
        <f t="shared" si="1"/>
        <v>33846.153000000006</v>
      </c>
      <c r="G37" s="6">
        <v>40</v>
      </c>
      <c r="H37" s="6">
        <v>48</v>
      </c>
      <c r="I37" s="95">
        <f t="shared" si="2"/>
        <v>17.628204687500002</v>
      </c>
      <c r="J37" s="112"/>
      <c r="K37" s="119"/>
      <c r="L37" s="119"/>
      <c r="M37" s="119"/>
      <c r="N37" s="119"/>
      <c r="O37" s="119"/>
      <c r="AA37" s="120"/>
      <c r="AB37" s="120"/>
      <c r="AC37" s="120"/>
    </row>
    <row r="38" spans="2:29" x14ac:dyDescent="0.25">
      <c r="B38" s="160" t="str">
        <f>$B$6</f>
        <v>HC - Auxiliary/Attendant</v>
      </c>
      <c r="C38" s="159">
        <v>483819.2</v>
      </c>
      <c r="D38" s="92">
        <f>C38/'Set up'!C9</f>
        <v>4762</v>
      </c>
      <c r="E38" s="59">
        <f t="shared" ref="E38:E43" si="3">10%*D38</f>
        <v>476.20000000000005</v>
      </c>
      <c r="F38" s="59">
        <f t="shared" si="1"/>
        <v>5238.2</v>
      </c>
      <c r="G38" s="6">
        <v>40</v>
      </c>
      <c r="H38" s="161">
        <v>48</v>
      </c>
      <c r="I38" s="96">
        <f t="shared" ref="I38:I43" si="4">F38/G38/H38</f>
        <v>2.7282291666666665</v>
      </c>
      <c r="J38" s="112"/>
      <c r="K38" s="119"/>
      <c r="L38" s="119"/>
      <c r="M38" s="119"/>
      <c r="N38" s="119"/>
      <c r="O38" s="119"/>
      <c r="AA38" s="120"/>
      <c r="AB38" s="120"/>
      <c r="AC38" s="120"/>
    </row>
    <row r="39" spans="2:29" x14ac:dyDescent="0.25">
      <c r="B39" s="160" t="str">
        <f>$B$8</f>
        <v>HC - General Physician</v>
      </c>
      <c r="C39" s="159">
        <v>744321.6</v>
      </c>
      <c r="D39" s="92">
        <f>C39/'Set up'!C9</f>
        <v>7326</v>
      </c>
      <c r="E39" s="59">
        <f t="shared" si="3"/>
        <v>732.6</v>
      </c>
      <c r="F39" s="60">
        <f>D38+E38</f>
        <v>5238.2</v>
      </c>
      <c r="G39" s="6">
        <v>40</v>
      </c>
      <c r="H39" s="161">
        <v>48</v>
      </c>
      <c r="I39" s="96">
        <f t="shared" si="4"/>
        <v>2.7282291666666665</v>
      </c>
      <c r="J39" s="112"/>
      <c r="K39" s="119"/>
      <c r="L39" s="119"/>
      <c r="M39" s="119"/>
      <c r="N39" s="119"/>
      <c r="O39" s="119"/>
      <c r="AA39" s="120"/>
      <c r="AB39" s="120"/>
      <c r="AC39" s="120"/>
    </row>
    <row r="40" spans="2:29" x14ac:dyDescent="0.25">
      <c r="B40" s="160" t="str">
        <f>$B$12</f>
        <v>HC - Lab Technician</v>
      </c>
      <c r="C40" s="159">
        <v>502412</v>
      </c>
      <c r="D40" s="92">
        <f>C40/'Set up'!C9</f>
        <v>4945</v>
      </c>
      <c r="E40" s="59">
        <f t="shared" si="3"/>
        <v>494.5</v>
      </c>
      <c r="F40" s="60">
        <f>D39+E39</f>
        <v>8058.6</v>
      </c>
      <c r="G40" s="6">
        <v>40</v>
      </c>
      <c r="H40" s="161">
        <v>48</v>
      </c>
      <c r="I40" s="96">
        <f t="shared" si="4"/>
        <v>4.1971875000000001</v>
      </c>
      <c r="J40" s="112"/>
      <c r="K40" s="119"/>
      <c r="L40" s="119"/>
      <c r="M40" s="119"/>
      <c r="N40" s="119"/>
      <c r="O40" s="119"/>
      <c r="AA40" s="120"/>
      <c r="AB40" s="120"/>
      <c r="AC40" s="120"/>
    </row>
    <row r="41" spans="2:29" x14ac:dyDescent="0.25">
      <c r="B41" s="160" t="str">
        <f>$B$7</f>
        <v>HC - Nurse/Midwife</v>
      </c>
      <c r="C41" s="159">
        <v>539597.6</v>
      </c>
      <c r="D41" s="92">
        <f>C41/'Set up'!C9</f>
        <v>5311</v>
      </c>
      <c r="E41" s="59">
        <f t="shared" si="3"/>
        <v>531.1</v>
      </c>
      <c r="F41" s="60">
        <f>D40+E40</f>
        <v>5439.5</v>
      </c>
      <c r="G41" s="6">
        <v>40</v>
      </c>
      <c r="H41" s="161">
        <v>48</v>
      </c>
      <c r="I41" s="96">
        <f t="shared" si="4"/>
        <v>2.8330729166666671</v>
      </c>
      <c r="J41" s="112"/>
      <c r="K41" s="119"/>
      <c r="L41" s="119"/>
      <c r="M41" s="119"/>
      <c r="N41" s="119"/>
      <c r="O41" s="119"/>
      <c r="AA41" s="120"/>
      <c r="AB41" s="120"/>
      <c r="AC41" s="120"/>
    </row>
    <row r="42" spans="2:29" x14ac:dyDescent="0.25">
      <c r="B42" s="160" t="str">
        <f>$B$9</f>
        <v>HC - Obstetrician</v>
      </c>
      <c r="C42" s="159">
        <v>837387.2</v>
      </c>
      <c r="D42" s="92">
        <f>C42/'Set up'!C9</f>
        <v>8242</v>
      </c>
      <c r="E42" s="59">
        <f t="shared" si="3"/>
        <v>824.2</v>
      </c>
      <c r="F42" s="60">
        <f>D41+E41</f>
        <v>5842.1</v>
      </c>
      <c r="G42" s="6">
        <v>40</v>
      </c>
      <c r="H42" s="161">
        <v>48</v>
      </c>
      <c r="I42" s="96">
        <f t="shared" si="4"/>
        <v>3.0427604166666669</v>
      </c>
      <c r="J42" s="112"/>
      <c r="K42" s="119"/>
      <c r="L42" s="119"/>
      <c r="M42" s="119"/>
      <c r="N42" s="119"/>
      <c r="O42" s="119"/>
      <c r="AA42" s="120"/>
      <c r="AB42" s="120"/>
      <c r="AC42" s="120"/>
    </row>
    <row r="43" spans="2:29" x14ac:dyDescent="0.25">
      <c r="B43" s="160" t="str">
        <f>$B$10</f>
        <v>HC - Paediatrician</v>
      </c>
      <c r="C43" s="159">
        <v>837387.2</v>
      </c>
      <c r="D43" s="92">
        <f>C43/'Set up'!C9</f>
        <v>8242</v>
      </c>
      <c r="E43" s="59">
        <f t="shared" si="3"/>
        <v>824.2</v>
      </c>
      <c r="F43" s="60">
        <f>D42+E42</f>
        <v>9066.2000000000007</v>
      </c>
      <c r="G43" s="6">
        <v>40</v>
      </c>
      <c r="H43" s="161">
        <v>48</v>
      </c>
      <c r="I43" s="96">
        <f t="shared" si="4"/>
        <v>4.7219791666666673</v>
      </c>
      <c r="J43" s="112"/>
      <c r="K43" s="119"/>
      <c r="L43" s="119"/>
      <c r="M43" s="119"/>
      <c r="N43" s="119"/>
      <c r="O43" s="119"/>
      <c r="AA43" s="120"/>
      <c r="AB43" s="120"/>
      <c r="AC43" s="120"/>
    </row>
    <row r="44" spans="2:29" s="112" customFormat="1" x14ac:dyDescent="0.25">
      <c r="B44" s="4" t="s">
        <v>102</v>
      </c>
      <c r="C44" s="57">
        <v>510207.5</v>
      </c>
      <c r="D44" s="93">
        <f>C44/'Set up'!C9</f>
        <v>5021.7273622047251</v>
      </c>
      <c r="E44" s="93">
        <f>0.1*D44</f>
        <v>502.17273622047253</v>
      </c>
      <c r="F44" s="5">
        <f>D44+E44</f>
        <v>5523.9000984251979</v>
      </c>
      <c r="G44" s="6">
        <v>40</v>
      </c>
      <c r="H44" s="6">
        <v>48</v>
      </c>
      <c r="I44" s="97">
        <f>F44/G44/H44</f>
        <v>2.8770313012631239</v>
      </c>
      <c r="O44" s="119"/>
      <c r="P44" s="119"/>
      <c r="Q44" s="119"/>
      <c r="R44" s="119"/>
      <c r="S44" s="119"/>
    </row>
    <row r="45" spans="2:29" s="112" customFormat="1" x14ac:dyDescent="0.25">
      <c r="B45" s="4" t="s">
        <v>103</v>
      </c>
      <c r="C45" s="57">
        <v>532538</v>
      </c>
      <c r="D45" s="93">
        <f>C45/'Set up'!C9</f>
        <v>5241.5157480314965</v>
      </c>
      <c r="E45" s="93">
        <f t="shared" ref="E45:E66" si="5">0.1*D45</f>
        <v>524.15157480314963</v>
      </c>
      <c r="F45" s="5">
        <f t="shared" ref="F45:F66" si="6">D45+E45</f>
        <v>5765.6673228346463</v>
      </c>
      <c r="G45" s="6">
        <v>40</v>
      </c>
      <c r="H45" s="6">
        <v>48</v>
      </c>
      <c r="I45" s="97">
        <f t="shared" ref="I45:I50" si="7">F45/G45/H45</f>
        <v>3.0029517306430447</v>
      </c>
      <c r="O45" s="119"/>
      <c r="P45" s="119"/>
      <c r="Q45" s="119"/>
      <c r="R45" s="119"/>
      <c r="S45" s="119"/>
    </row>
    <row r="46" spans="2:29" s="112" customFormat="1" x14ac:dyDescent="0.25">
      <c r="B46" s="4" t="s">
        <v>104</v>
      </c>
      <c r="C46" s="57">
        <v>545923.5</v>
      </c>
      <c r="D46" s="93">
        <f>C46/'Set up'!C9</f>
        <v>5373.2627952755911</v>
      </c>
      <c r="E46" s="93">
        <f t="shared" si="5"/>
        <v>537.32627952755911</v>
      </c>
      <c r="F46" s="5">
        <f t="shared" si="6"/>
        <v>5910.5890748031507</v>
      </c>
      <c r="G46" s="6">
        <v>40</v>
      </c>
      <c r="H46" s="6">
        <v>48</v>
      </c>
      <c r="I46" s="97">
        <f t="shared" si="7"/>
        <v>3.0784318097933077</v>
      </c>
      <c r="O46" s="119"/>
      <c r="P46" s="119"/>
      <c r="Q46" s="119"/>
      <c r="R46" s="119"/>
      <c r="S46" s="119"/>
    </row>
    <row r="47" spans="2:29" s="112" customFormat="1" x14ac:dyDescent="0.25">
      <c r="B47" s="4" t="s">
        <v>105</v>
      </c>
      <c r="C47" s="57">
        <v>691194</v>
      </c>
      <c r="D47" s="93">
        <f>C47/'Set up'!C9</f>
        <v>6803.0905511811025</v>
      </c>
      <c r="E47" s="93">
        <f t="shared" si="5"/>
        <v>680.30905511811034</v>
      </c>
      <c r="F47" s="5">
        <f t="shared" si="6"/>
        <v>7483.3996062992128</v>
      </c>
      <c r="G47" s="6">
        <v>40</v>
      </c>
      <c r="H47" s="6">
        <v>48</v>
      </c>
      <c r="I47" s="97">
        <f t="shared" si="7"/>
        <v>3.8976039616141733</v>
      </c>
      <c r="O47" s="119"/>
      <c r="P47" s="119"/>
      <c r="Q47" s="119"/>
      <c r="R47" s="119"/>
      <c r="S47" s="119"/>
    </row>
    <row r="48" spans="2:29" s="112" customFormat="1" x14ac:dyDescent="0.25">
      <c r="B48" s="4" t="s">
        <v>106</v>
      </c>
      <c r="C48" s="57">
        <v>784992</v>
      </c>
      <c r="D48" s="93">
        <f>C48/'Set up'!C9</f>
        <v>7726.2992125984256</v>
      </c>
      <c r="E48" s="93">
        <f t="shared" si="5"/>
        <v>772.6299212598426</v>
      </c>
      <c r="F48" s="5">
        <f t="shared" si="6"/>
        <v>8498.929133858268</v>
      </c>
      <c r="G48" s="6">
        <v>40</v>
      </c>
      <c r="H48" s="6">
        <v>48</v>
      </c>
      <c r="I48" s="97">
        <f t="shared" si="7"/>
        <v>4.4265255905511811</v>
      </c>
      <c r="N48" s="157"/>
      <c r="O48" s="119"/>
      <c r="P48" s="119"/>
      <c r="Q48" s="119"/>
      <c r="R48" s="119"/>
      <c r="S48" s="119"/>
    </row>
    <row r="49" spans="2:19" s="112" customFormat="1" x14ac:dyDescent="0.25">
      <c r="B49" s="4" t="s">
        <v>107</v>
      </c>
      <c r="C49" s="57">
        <v>985506</v>
      </c>
      <c r="D49" s="93">
        <f>C49/'Set up'!C9</f>
        <v>9699.8622047244098</v>
      </c>
      <c r="E49" s="93">
        <f t="shared" si="5"/>
        <v>969.986220472441</v>
      </c>
      <c r="F49" s="5">
        <f t="shared" si="6"/>
        <v>10669.848425196851</v>
      </c>
      <c r="G49" s="6">
        <v>40</v>
      </c>
      <c r="H49" s="6">
        <v>48</v>
      </c>
      <c r="I49" s="97">
        <f t="shared" si="7"/>
        <v>5.5572127214566933</v>
      </c>
      <c r="N49" s="157"/>
      <c r="O49" s="119"/>
      <c r="P49" s="119"/>
      <c r="Q49" s="119"/>
      <c r="R49" s="119"/>
      <c r="S49" s="119"/>
    </row>
    <row r="50" spans="2:19" s="112" customFormat="1" x14ac:dyDescent="0.25">
      <c r="B50" s="4" t="s">
        <v>108</v>
      </c>
      <c r="C50" s="57">
        <v>1378520.5</v>
      </c>
      <c r="D50" s="93">
        <f>C50/'Set up'!C9</f>
        <v>13568.115157480315</v>
      </c>
      <c r="E50" s="93">
        <f t="shared" si="5"/>
        <v>1356.8115157480315</v>
      </c>
      <c r="F50" s="5">
        <f t="shared" si="6"/>
        <v>14924.926673228347</v>
      </c>
      <c r="G50" s="6">
        <v>40</v>
      </c>
      <c r="H50" s="6">
        <v>48</v>
      </c>
      <c r="I50" s="97">
        <f t="shared" si="7"/>
        <v>7.7733993089730973</v>
      </c>
      <c r="N50" s="157"/>
      <c r="O50" s="119"/>
      <c r="P50" s="119"/>
      <c r="Q50" s="119"/>
      <c r="R50" s="119"/>
      <c r="S50" s="119"/>
    </row>
    <row r="51" spans="2:19" s="112" customFormat="1" x14ac:dyDescent="0.25">
      <c r="B51" s="4" t="s">
        <v>109</v>
      </c>
      <c r="C51" s="57">
        <v>1730715.5</v>
      </c>
      <c r="D51" s="93">
        <f>C51/'Set up'!C9</f>
        <v>17034.601377952757</v>
      </c>
      <c r="E51" s="93">
        <f t="shared" si="5"/>
        <v>1703.4601377952758</v>
      </c>
      <c r="F51" s="5">
        <f t="shared" si="6"/>
        <v>18738.061515748032</v>
      </c>
      <c r="G51" s="6">
        <v>40</v>
      </c>
      <c r="H51" s="6">
        <v>48</v>
      </c>
      <c r="I51" s="97">
        <f t="shared" ref="I51:I57" si="8">F51/G51/H51</f>
        <v>9.7594070394520998</v>
      </c>
      <c r="N51" s="119"/>
      <c r="O51" s="119"/>
      <c r="P51" s="119"/>
      <c r="Q51" s="119"/>
      <c r="R51" s="119"/>
      <c r="S51" s="119"/>
    </row>
    <row r="52" spans="2:19" s="112" customFormat="1" x14ac:dyDescent="0.25">
      <c r="B52" s="4" t="s">
        <v>111</v>
      </c>
      <c r="C52" s="57">
        <v>1858709</v>
      </c>
      <c r="D52" s="93">
        <f>C52/'Set up'!C9</f>
        <v>18294.379921259842</v>
      </c>
      <c r="E52" s="93">
        <f t="shared" si="5"/>
        <v>1829.4379921259842</v>
      </c>
      <c r="F52" s="5">
        <f t="shared" si="6"/>
        <v>20123.817913385828</v>
      </c>
      <c r="G52" s="6">
        <v>40</v>
      </c>
      <c r="H52" s="6">
        <v>48</v>
      </c>
      <c r="I52" s="97">
        <f t="shared" si="8"/>
        <v>10.481155163221786</v>
      </c>
      <c r="N52" s="119"/>
      <c r="O52" s="119"/>
      <c r="P52" s="119"/>
      <c r="Q52" s="119"/>
      <c r="R52" s="119"/>
      <c r="S52" s="119"/>
    </row>
    <row r="53" spans="2:19" s="112" customFormat="1" x14ac:dyDescent="0.25">
      <c r="B53" s="4" t="s">
        <v>110</v>
      </c>
      <c r="C53" s="57">
        <v>2204491</v>
      </c>
      <c r="D53" s="93">
        <f>C53/'Set up'!C9</f>
        <v>21697.746062992126</v>
      </c>
      <c r="E53" s="93">
        <f t="shared" si="5"/>
        <v>2169.7746062992128</v>
      </c>
      <c r="F53" s="5">
        <f t="shared" si="6"/>
        <v>23867.520669291338</v>
      </c>
      <c r="G53" s="6">
        <v>40</v>
      </c>
      <c r="H53" s="6">
        <v>48</v>
      </c>
      <c r="I53" s="97">
        <f t="shared" si="8"/>
        <v>12.431000348589238</v>
      </c>
      <c r="N53" s="119"/>
      <c r="O53" s="119"/>
      <c r="P53" s="119"/>
      <c r="Q53" s="119"/>
      <c r="R53" s="119"/>
      <c r="S53" s="119"/>
    </row>
    <row r="54" spans="2:19" s="112" customFormat="1" x14ac:dyDescent="0.25">
      <c r="B54" s="4" t="s">
        <v>112</v>
      </c>
      <c r="C54" s="57">
        <v>3134491</v>
      </c>
      <c r="D54" s="93">
        <f>C54/'Set up'!C9</f>
        <v>30851.289370078743</v>
      </c>
      <c r="E54" s="93">
        <f t="shared" si="5"/>
        <v>3085.1289370078744</v>
      </c>
      <c r="F54" s="5">
        <f t="shared" si="6"/>
        <v>33936.41830708662</v>
      </c>
      <c r="G54" s="6">
        <v>40</v>
      </c>
      <c r="H54" s="6">
        <v>48</v>
      </c>
      <c r="I54" s="97">
        <f t="shared" si="8"/>
        <v>17.675217868274281</v>
      </c>
      <c r="N54" s="119"/>
      <c r="O54" s="119"/>
      <c r="P54" s="119"/>
      <c r="Q54" s="119"/>
      <c r="R54" s="119"/>
      <c r="S54" s="119"/>
    </row>
    <row r="55" spans="2:19" s="112" customFormat="1" x14ac:dyDescent="0.25">
      <c r="B55" s="4" t="s">
        <v>113</v>
      </c>
      <c r="C55" s="57">
        <v>3338821.5</v>
      </c>
      <c r="D55" s="93">
        <f>C55/'Set up'!C9</f>
        <v>32862.416338582676</v>
      </c>
      <c r="E55" s="93">
        <f t="shared" si="5"/>
        <v>3286.241633858268</v>
      </c>
      <c r="F55" s="5">
        <f t="shared" si="6"/>
        <v>36148.657972440946</v>
      </c>
      <c r="G55" s="6">
        <v>40</v>
      </c>
      <c r="H55" s="6">
        <v>48</v>
      </c>
      <c r="I55" s="97">
        <f t="shared" si="8"/>
        <v>18.827426027312992</v>
      </c>
      <c r="N55" s="119"/>
      <c r="O55" s="119"/>
      <c r="P55" s="119"/>
      <c r="Q55" s="119"/>
      <c r="R55" s="119"/>
      <c r="S55" s="119"/>
    </row>
    <row r="56" spans="2:19" s="112" customFormat="1" x14ac:dyDescent="0.25">
      <c r="B56" s="4" t="s">
        <v>114</v>
      </c>
      <c r="C56" s="57">
        <v>4298821.5</v>
      </c>
      <c r="D56" s="93">
        <f>C56/'Set up'!C9</f>
        <v>42311.235236220477</v>
      </c>
      <c r="E56" s="93">
        <f t="shared" si="5"/>
        <v>4231.1235236220482</v>
      </c>
      <c r="F56" s="5">
        <f t="shared" si="6"/>
        <v>46542.358759842522</v>
      </c>
      <c r="G56" s="6">
        <v>40</v>
      </c>
      <c r="H56" s="6">
        <v>48</v>
      </c>
      <c r="I56" s="97">
        <f t="shared" si="8"/>
        <v>24.240811854084644</v>
      </c>
      <c r="N56" s="119"/>
      <c r="O56" s="119"/>
      <c r="P56" s="119"/>
      <c r="Q56" s="119"/>
      <c r="R56" s="119"/>
      <c r="S56" s="119"/>
    </row>
    <row r="57" spans="2:19" s="112" customFormat="1" x14ac:dyDescent="0.25">
      <c r="B57" s="4" t="s">
        <v>115</v>
      </c>
      <c r="C57" s="57">
        <v>3670938</v>
      </c>
      <c r="D57" s="93">
        <f>C57/'Set up'!C9</f>
        <v>36131.279527559054</v>
      </c>
      <c r="E57" s="93">
        <f t="shared" si="5"/>
        <v>3613.1279527559054</v>
      </c>
      <c r="F57" s="5">
        <f t="shared" si="6"/>
        <v>39744.407480314956</v>
      </c>
      <c r="G57" s="6">
        <v>40</v>
      </c>
      <c r="H57" s="6">
        <v>48</v>
      </c>
      <c r="I57" s="97">
        <f t="shared" si="8"/>
        <v>20.700212229330706</v>
      </c>
      <c r="N57" s="119"/>
      <c r="O57" s="119"/>
      <c r="P57" s="119"/>
      <c r="Q57" s="119"/>
      <c r="R57" s="119"/>
      <c r="S57" s="119"/>
    </row>
    <row r="58" spans="2:19" s="112" customFormat="1" x14ac:dyDescent="0.25">
      <c r="B58" s="4" t="s">
        <v>116</v>
      </c>
      <c r="C58" s="57">
        <v>4990938</v>
      </c>
      <c r="D58" s="93">
        <f>C58/'Set up'!C9</f>
        <v>49123.405511811026</v>
      </c>
      <c r="E58" s="93">
        <f t="shared" si="5"/>
        <v>4912.3405511811034</v>
      </c>
      <c r="F58" s="5">
        <f t="shared" si="6"/>
        <v>54035.746062992126</v>
      </c>
      <c r="G58" s="6">
        <v>40</v>
      </c>
      <c r="H58" s="6">
        <v>48</v>
      </c>
      <c r="I58" s="97">
        <f t="shared" ref="I58:I66" si="9">F58/G58/H58</f>
        <v>28.143617741141735</v>
      </c>
      <c r="N58" s="119"/>
      <c r="O58" s="119"/>
      <c r="P58" s="119"/>
      <c r="Q58" s="119"/>
      <c r="R58" s="119"/>
      <c r="S58" s="119"/>
    </row>
    <row r="59" spans="2:19" s="112" customFormat="1" x14ac:dyDescent="0.25">
      <c r="B59" s="4" t="s">
        <v>117</v>
      </c>
      <c r="C59" s="57">
        <v>5007651</v>
      </c>
      <c r="D59" s="93">
        <f>C59/'Set up'!C9</f>
        <v>49287.903543307089</v>
      </c>
      <c r="E59" s="93">
        <f t="shared" si="5"/>
        <v>4928.7903543307093</v>
      </c>
      <c r="F59" s="5">
        <f t="shared" si="6"/>
        <v>54216.693897637801</v>
      </c>
      <c r="G59" s="6">
        <v>40</v>
      </c>
      <c r="H59" s="6">
        <v>48</v>
      </c>
      <c r="I59" s="97">
        <f t="shared" si="9"/>
        <v>28.237861405019686</v>
      </c>
      <c r="N59" s="119"/>
      <c r="O59" s="119"/>
      <c r="P59" s="119"/>
      <c r="Q59" s="119"/>
      <c r="R59" s="119"/>
      <c r="S59" s="119"/>
    </row>
    <row r="60" spans="2:19" s="112" customFormat="1" x14ac:dyDescent="0.25">
      <c r="B60" s="4" t="s">
        <v>118</v>
      </c>
      <c r="C60" s="57">
        <v>6447651</v>
      </c>
      <c r="D60" s="93">
        <f>C60/'Set up'!C9</f>
        <v>63461.131889763783</v>
      </c>
      <c r="E60" s="93">
        <f t="shared" si="5"/>
        <v>6346.1131889763783</v>
      </c>
      <c r="F60" s="5">
        <f t="shared" si="6"/>
        <v>69807.245078740161</v>
      </c>
      <c r="G60" s="6">
        <v>40</v>
      </c>
      <c r="H60" s="6">
        <v>48</v>
      </c>
      <c r="I60" s="97">
        <f t="shared" si="9"/>
        <v>36.357940145177167</v>
      </c>
      <c r="N60" s="119"/>
      <c r="O60" s="119"/>
      <c r="P60" s="119"/>
      <c r="Q60" s="119"/>
      <c r="R60" s="119"/>
      <c r="S60" s="119"/>
    </row>
    <row r="61" spans="2:19" s="112" customFormat="1" x14ac:dyDescent="0.25">
      <c r="B61" s="4" t="s">
        <v>119</v>
      </c>
      <c r="C61" s="57">
        <v>5536560.5</v>
      </c>
      <c r="D61" s="93">
        <f>C61/'Set up'!C9</f>
        <v>54493.705708661422</v>
      </c>
      <c r="E61" s="93">
        <f t="shared" si="5"/>
        <v>5449.3705708661428</v>
      </c>
      <c r="F61" s="5">
        <f t="shared" si="6"/>
        <v>59943.076279527566</v>
      </c>
      <c r="G61" s="6">
        <v>40</v>
      </c>
      <c r="H61" s="6">
        <v>48</v>
      </c>
      <c r="I61" s="97">
        <f t="shared" si="9"/>
        <v>31.220352228920607</v>
      </c>
      <c r="N61" s="119"/>
      <c r="O61" s="119"/>
      <c r="P61" s="119"/>
      <c r="Q61" s="119"/>
      <c r="R61" s="119"/>
      <c r="S61" s="119"/>
    </row>
    <row r="62" spans="2:19" s="112" customFormat="1" x14ac:dyDescent="0.25">
      <c r="B62" s="15" t="s">
        <v>100</v>
      </c>
      <c r="C62" s="57"/>
      <c r="D62" s="93">
        <f>C62/'Set up'!C9</f>
        <v>0</v>
      </c>
      <c r="E62" s="93">
        <f t="shared" si="5"/>
        <v>0</v>
      </c>
      <c r="F62" s="5">
        <f t="shared" si="6"/>
        <v>0</v>
      </c>
      <c r="G62" s="6">
        <v>40</v>
      </c>
      <c r="H62" s="6">
        <v>48</v>
      </c>
      <c r="I62" s="97">
        <f t="shared" ref="I62:I65" si="10">F62/G62/H62</f>
        <v>0</v>
      </c>
      <c r="N62" s="119"/>
      <c r="O62" s="119"/>
      <c r="P62" s="119"/>
      <c r="Q62" s="119"/>
      <c r="R62" s="119"/>
      <c r="S62" s="119"/>
    </row>
    <row r="63" spans="2:19" s="112" customFormat="1" x14ac:dyDescent="0.25">
      <c r="B63" s="15" t="s">
        <v>100</v>
      </c>
      <c r="C63" s="57"/>
      <c r="D63" s="93">
        <f>C63/'Set up'!C9</f>
        <v>0</v>
      </c>
      <c r="E63" s="93">
        <f t="shared" si="5"/>
        <v>0</v>
      </c>
      <c r="F63" s="5">
        <f t="shared" si="6"/>
        <v>0</v>
      </c>
      <c r="G63" s="6">
        <v>40</v>
      </c>
      <c r="H63" s="6">
        <v>48</v>
      </c>
      <c r="I63" s="97">
        <f t="shared" si="10"/>
        <v>0</v>
      </c>
      <c r="N63" s="119"/>
      <c r="O63" s="119"/>
      <c r="P63" s="119"/>
      <c r="Q63" s="119"/>
      <c r="R63" s="119"/>
      <c r="S63" s="119"/>
    </row>
    <row r="64" spans="2:19" s="112" customFormat="1" x14ac:dyDescent="0.25">
      <c r="B64" s="15" t="s">
        <v>100</v>
      </c>
      <c r="C64" s="57"/>
      <c r="D64" s="93">
        <f>C64/'Set up'!C9</f>
        <v>0</v>
      </c>
      <c r="E64" s="93">
        <f t="shared" si="5"/>
        <v>0</v>
      </c>
      <c r="F64" s="5">
        <f t="shared" si="6"/>
        <v>0</v>
      </c>
      <c r="G64" s="6">
        <v>40</v>
      </c>
      <c r="H64" s="6">
        <v>48</v>
      </c>
      <c r="I64" s="97">
        <f t="shared" si="10"/>
        <v>0</v>
      </c>
      <c r="N64" s="119"/>
      <c r="O64" s="119"/>
      <c r="P64" s="119"/>
      <c r="Q64" s="119"/>
      <c r="R64" s="119"/>
      <c r="S64" s="119"/>
    </row>
    <row r="65" spans="2:19" s="112" customFormat="1" x14ac:dyDescent="0.25">
      <c r="B65" s="15" t="s">
        <v>100</v>
      </c>
      <c r="C65" s="57"/>
      <c r="D65" s="93">
        <f>C65/'Set up'!C9</f>
        <v>0</v>
      </c>
      <c r="E65" s="93">
        <f t="shared" si="5"/>
        <v>0</v>
      </c>
      <c r="F65" s="5">
        <f t="shared" si="6"/>
        <v>0</v>
      </c>
      <c r="G65" s="6">
        <v>40</v>
      </c>
      <c r="H65" s="6">
        <v>48</v>
      </c>
      <c r="I65" s="97">
        <f t="shared" si="10"/>
        <v>0</v>
      </c>
      <c r="N65" s="119"/>
      <c r="O65" s="119"/>
      <c r="P65" s="119"/>
      <c r="Q65" s="119"/>
      <c r="R65" s="119"/>
      <c r="S65" s="119"/>
    </row>
    <row r="66" spans="2:19" s="112" customFormat="1" x14ac:dyDescent="0.25">
      <c r="B66" s="15" t="s">
        <v>100</v>
      </c>
      <c r="C66" s="57"/>
      <c r="D66" s="93">
        <f>C66/'Set up'!C9</f>
        <v>0</v>
      </c>
      <c r="E66" s="93">
        <f t="shared" si="5"/>
        <v>0</v>
      </c>
      <c r="F66" s="5">
        <f t="shared" si="6"/>
        <v>0</v>
      </c>
      <c r="G66" s="6">
        <v>40</v>
      </c>
      <c r="H66" s="6">
        <v>48</v>
      </c>
      <c r="I66" s="97">
        <f t="shared" si="9"/>
        <v>0</v>
      </c>
      <c r="N66" s="119"/>
      <c r="O66" s="119"/>
      <c r="P66" s="119"/>
      <c r="Q66" s="119"/>
      <c r="R66" s="119"/>
      <c r="S66" s="119"/>
    </row>
    <row r="67" spans="2:19" x14ac:dyDescent="0.25">
      <c r="B67" s="162" t="s">
        <v>26</v>
      </c>
      <c r="C67" s="162"/>
      <c r="D67" s="162"/>
      <c r="E67" s="8"/>
      <c r="F67" s="7"/>
      <c r="G67" s="112"/>
      <c r="H67" s="112"/>
      <c r="I67" s="112"/>
      <c r="J67" s="112"/>
      <c r="K67" s="112"/>
      <c r="L67" s="112"/>
    </row>
    <row r="68" spans="2:19" s="112" customFormat="1" x14ac:dyDescent="0.25">
      <c r="B68" s="163"/>
      <c r="C68" s="163"/>
      <c r="D68" s="163"/>
      <c r="E68" s="7"/>
      <c r="F68" s="7"/>
    </row>
    <row r="69" spans="2:19" ht="28.9" customHeight="1" x14ac:dyDescent="0.25">
      <c r="B69" s="444" t="s">
        <v>27</v>
      </c>
      <c r="C69" s="444"/>
      <c r="D69" s="444"/>
      <c r="E69" s="444"/>
      <c r="F69" s="444"/>
      <c r="G69" s="164"/>
      <c r="H69" s="164"/>
      <c r="I69" s="164"/>
      <c r="J69" s="164"/>
      <c r="K69" s="164"/>
      <c r="L69" s="164"/>
    </row>
    <row r="70" spans="2:19" ht="15" customHeight="1" thickBot="1" x14ac:dyDescent="0.3">
      <c r="B70" s="165"/>
      <c r="C70" s="165"/>
      <c r="D70" s="165"/>
      <c r="E70" s="165"/>
      <c r="F70" s="165"/>
      <c r="G70" s="164"/>
      <c r="H70" s="164"/>
      <c r="I70" s="164"/>
      <c r="J70" s="164"/>
      <c r="K70" s="164"/>
      <c r="L70" s="164"/>
    </row>
    <row r="71" spans="2:19" ht="30.6" customHeight="1" thickBot="1" x14ac:dyDescent="0.3">
      <c r="B71" s="149" t="s">
        <v>439</v>
      </c>
      <c r="C71" s="150" t="s">
        <v>235</v>
      </c>
      <c r="D71" s="150" t="s">
        <v>98</v>
      </c>
      <c r="E71" s="166" t="s">
        <v>236</v>
      </c>
      <c r="F71" s="167" t="s">
        <v>234</v>
      </c>
      <c r="G71" s="164"/>
      <c r="H71" s="164"/>
      <c r="I71" s="164"/>
      <c r="J71" s="164"/>
      <c r="K71" s="164"/>
      <c r="L71" s="164"/>
    </row>
    <row r="72" spans="2:19" ht="15" customHeight="1" x14ac:dyDescent="0.25">
      <c r="B72" s="168" t="s">
        <v>253</v>
      </c>
      <c r="C72" s="421">
        <f>VLOOKUP(B72,'Drop Down Master List'!$G$91:$H$103,2,FALSE)</f>
        <v>523</v>
      </c>
      <c r="D72" s="144">
        <v>48</v>
      </c>
      <c r="E72" s="170">
        <v>1</v>
      </c>
      <c r="F72" s="98">
        <f t="shared" ref="F72:F76" si="11">IF(C72&gt;0,C72/D72,0)</f>
        <v>10.895833333333334</v>
      </c>
      <c r="G72" s="164"/>
      <c r="H72" s="164"/>
      <c r="I72" s="164"/>
      <c r="J72" s="164"/>
      <c r="K72" s="164"/>
      <c r="L72" s="164"/>
    </row>
    <row r="73" spans="2:19" ht="15" customHeight="1" x14ac:dyDescent="0.25">
      <c r="B73" s="171" t="s">
        <v>254</v>
      </c>
      <c r="C73" s="421">
        <f>VLOOKUP(B73,'Drop Down Master List'!$G$91:$H$103,2,FALSE)</f>
        <v>444.73372781065001</v>
      </c>
      <c r="D73" s="144">
        <v>48</v>
      </c>
      <c r="E73" s="170">
        <v>1</v>
      </c>
      <c r="F73" s="99">
        <f t="shared" si="11"/>
        <v>9.2652859960552085</v>
      </c>
      <c r="G73" s="164"/>
      <c r="H73" s="164"/>
      <c r="I73" s="164"/>
      <c r="J73" s="164"/>
      <c r="K73" s="164"/>
      <c r="L73" s="164"/>
    </row>
    <row r="74" spans="2:19" ht="15" customHeight="1" x14ac:dyDescent="0.25">
      <c r="B74" s="171" t="s">
        <v>32</v>
      </c>
      <c r="C74" s="421">
        <f>VLOOKUP(B74,'Drop Down Master List'!$G$91:$H$103,2,FALSE)</f>
        <v>288</v>
      </c>
      <c r="D74" s="144">
        <v>96</v>
      </c>
      <c r="E74" s="170">
        <v>1</v>
      </c>
      <c r="F74" s="99">
        <f t="shared" si="11"/>
        <v>3</v>
      </c>
      <c r="G74" s="164"/>
      <c r="H74" s="164"/>
      <c r="I74" s="164"/>
      <c r="J74" s="164"/>
      <c r="K74" s="164"/>
      <c r="L74" s="164"/>
    </row>
    <row r="75" spans="2:19" ht="30.6" customHeight="1" x14ac:dyDescent="0.25">
      <c r="B75" s="171" t="s">
        <v>33</v>
      </c>
      <c r="C75" s="421">
        <f>VLOOKUP(B75,'Drop Down Master List'!$G$91:$H$103,2,FALSE)</f>
        <v>686</v>
      </c>
      <c r="D75" s="144">
        <v>96</v>
      </c>
      <c r="E75" s="170">
        <v>1</v>
      </c>
      <c r="F75" s="99">
        <f t="shared" si="11"/>
        <v>7.145833333333333</v>
      </c>
      <c r="G75" s="164"/>
      <c r="H75" s="164"/>
      <c r="I75" s="164"/>
      <c r="J75" s="164"/>
      <c r="K75" s="164"/>
      <c r="L75" s="164"/>
    </row>
    <row r="76" spans="2:19" ht="30.6" customHeight="1" x14ac:dyDescent="0.25">
      <c r="B76" s="171" t="s">
        <v>34</v>
      </c>
      <c r="C76" s="421">
        <f>VLOOKUP(B76,'Drop Down Master List'!$G$91:$H$103,2,FALSE)</f>
        <v>230</v>
      </c>
      <c r="D76" s="144">
        <v>1128</v>
      </c>
      <c r="E76" s="170">
        <v>1</v>
      </c>
      <c r="F76" s="99">
        <f t="shared" si="11"/>
        <v>0.20390070921985815</v>
      </c>
      <c r="G76" s="164"/>
      <c r="H76" s="164"/>
      <c r="I76" s="164"/>
      <c r="J76" s="164"/>
      <c r="K76" s="164"/>
      <c r="L76" s="164"/>
    </row>
    <row r="77" spans="2:19" ht="15" customHeight="1" x14ac:dyDescent="0.25">
      <c r="B77" s="168" t="s">
        <v>273</v>
      </c>
      <c r="C77" s="421">
        <f>VLOOKUP(B77,'Drop Down Master List'!$G$91:$H$103,2,FALSE)</f>
        <v>300</v>
      </c>
      <c r="D77" s="172">
        <v>96</v>
      </c>
      <c r="E77" s="173">
        <v>1</v>
      </c>
      <c r="F77" s="98">
        <f t="shared" ref="F77:F82" si="12">IF(C77&gt;0,C77/D77,0)</f>
        <v>3.125</v>
      </c>
      <c r="G77" s="164"/>
      <c r="H77" s="164"/>
      <c r="I77" s="164"/>
      <c r="J77" s="164"/>
      <c r="K77" s="164"/>
      <c r="L77" s="164"/>
    </row>
    <row r="78" spans="2:19" ht="15" customHeight="1" x14ac:dyDescent="0.25">
      <c r="B78" s="171" t="s">
        <v>274</v>
      </c>
      <c r="C78" s="421">
        <f>VLOOKUP(B78,'Drop Down Master List'!$G$91:$H$103,2,FALSE)</f>
        <v>288</v>
      </c>
      <c r="D78" s="144">
        <v>48</v>
      </c>
      <c r="E78" s="170">
        <v>1</v>
      </c>
      <c r="F78" s="99">
        <f t="shared" si="12"/>
        <v>6</v>
      </c>
      <c r="G78" s="164"/>
      <c r="H78" s="164"/>
      <c r="I78" s="164"/>
      <c r="J78" s="164"/>
      <c r="K78" s="164"/>
      <c r="L78" s="164"/>
    </row>
    <row r="79" spans="2:19" ht="15" customHeight="1" x14ac:dyDescent="0.25">
      <c r="B79" s="171" t="s">
        <v>276</v>
      </c>
      <c r="C79" s="421">
        <f>VLOOKUP(B79,'Drop Down Master List'!$G$91:$H$103,2,FALSE)</f>
        <v>230</v>
      </c>
      <c r="D79" s="144">
        <v>93</v>
      </c>
      <c r="E79" s="170">
        <v>1</v>
      </c>
      <c r="F79" s="99">
        <f t="shared" si="12"/>
        <v>2.4731182795698925</v>
      </c>
      <c r="G79" s="164"/>
      <c r="H79" s="164"/>
      <c r="I79" s="164"/>
      <c r="J79" s="164"/>
      <c r="K79" s="164"/>
      <c r="L79" s="164"/>
    </row>
    <row r="80" spans="2:19" ht="15" customHeight="1" x14ac:dyDescent="0.25">
      <c r="B80" s="171" t="s">
        <v>277</v>
      </c>
      <c r="C80" s="421">
        <f>VLOOKUP(B80,'Drop Down Master List'!$G$91:$H$103,2,FALSE)</f>
        <v>230</v>
      </c>
      <c r="D80" s="144">
        <v>93</v>
      </c>
      <c r="E80" s="170">
        <v>1</v>
      </c>
      <c r="F80" s="99">
        <f t="shared" si="12"/>
        <v>2.4731182795698925</v>
      </c>
      <c r="G80" s="164"/>
      <c r="H80" s="164"/>
      <c r="I80" s="164"/>
      <c r="J80" s="164"/>
      <c r="K80" s="164"/>
      <c r="L80" s="164"/>
    </row>
    <row r="81" spans="2:30" ht="15" customHeight="1" x14ac:dyDescent="0.25">
      <c r="B81" s="171" t="s">
        <v>275</v>
      </c>
      <c r="C81" s="421">
        <f>VLOOKUP(B81,'Drop Down Master List'!$G$91:$H$103,2,FALSE)</f>
        <v>288</v>
      </c>
      <c r="D81" s="144">
        <v>96</v>
      </c>
      <c r="E81" s="170">
        <v>1</v>
      </c>
      <c r="F81" s="99">
        <f t="shared" si="12"/>
        <v>3</v>
      </c>
      <c r="G81" s="164"/>
      <c r="H81" s="164"/>
      <c r="I81" s="164"/>
      <c r="J81" s="164"/>
      <c r="K81" s="164"/>
      <c r="L81" s="164"/>
    </row>
    <row r="82" spans="2:30" ht="15" customHeight="1" x14ac:dyDescent="0.25">
      <c r="B82" s="171" t="s">
        <v>288</v>
      </c>
      <c r="C82" s="421">
        <f>VLOOKUP(B82,'Drop Down Master List'!$G$91:$H$103,2,FALSE)</f>
        <v>690.33530571992105</v>
      </c>
      <c r="D82" s="144">
        <v>100</v>
      </c>
      <c r="E82" s="170">
        <f>100/100</f>
        <v>1</v>
      </c>
      <c r="F82" s="99">
        <f t="shared" si="12"/>
        <v>6.9033530571992108</v>
      </c>
      <c r="G82" s="164"/>
      <c r="H82" s="164"/>
      <c r="I82" s="164"/>
      <c r="J82" s="164"/>
      <c r="K82" s="164"/>
      <c r="L82" s="164"/>
    </row>
    <row r="83" spans="2:30" ht="15" customHeight="1" x14ac:dyDescent="0.25">
      <c r="B83" s="171"/>
      <c r="C83" s="421" t="e">
        <f>VLOOKUP(B83,'Drop Down Master List'!$G$91:$H$103,2,FALSE)</f>
        <v>#N/A</v>
      </c>
      <c r="D83" s="144"/>
      <c r="E83" s="170"/>
      <c r="F83" s="99" t="e">
        <f t="shared" ref="F83" si="13">IF(C83&gt;0,C83/D83,0)</f>
        <v>#N/A</v>
      </c>
      <c r="G83" s="164"/>
      <c r="H83" s="164"/>
      <c r="I83" s="164"/>
      <c r="J83" s="164"/>
      <c r="K83" s="164"/>
      <c r="L83" s="164"/>
    </row>
    <row r="84" spans="2:30" s="112" customFormat="1" ht="15.75" thickBot="1" x14ac:dyDescent="0.3">
      <c r="B84" s="174"/>
      <c r="C84" s="174"/>
      <c r="D84" s="174"/>
      <c r="E84" s="174"/>
      <c r="F84" s="174"/>
      <c r="G84" s="174"/>
      <c r="H84" s="174"/>
      <c r="I84" s="174"/>
      <c r="J84" s="174"/>
      <c r="K84" s="174"/>
      <c r="L84" s="174"/>
    </row>
    <row r="85" spans="2:30" ht="30" customHeight="1" thickBot="1" x14ac:dyDescent="0.3">
      <c r="B85" s="149" t="s">
        <v>97</v>
      </c>
      <c r="C85" s="150" t="s">
        <v>235</v>
      </c>
      <c r="D85" s="150" t="s">
        <v>98</v>
      </c>
      <c r="E85" s="166" t="s">
        <v>236</v>
      </c>
      <c r="F85" s="167" t="s">
        <v>234</v>
      </c>
      <c r="H85" s="112"/>
      <c r="I85" s="112"/>
      <c r="J85" s="112"/>
      <c r="K85" s="112"/>
      <c r="L85" s="112"/>
      <c r="AD85" s="112"/>
    </row>
    <row r="86" spans="2:30" x14ac:dyDescent="0.25">
      <c r="B86" s="175" t="s">
        <v>28</v>
      </c>
      <c r="C86" s="169">
        <f>VLOOKUP(B86,'Drop Down Master List'!$G$3:$H$88,2,FALSE)</f>
        <v>7.89</v>
      </c>
      <c r="D86" s="172">
        <v>50</v>
      </c>
      <c r="E86" s="173">
        <v>2</v>
      </c>
      <c r="F86" s="98">
        <f t="shared" ref="F86:F112" si="14">IF(C86&gt;0,C86/D86,0)</f>
        <v>0.1578</v>
      </c>
      <c r="G86" s="112"/>
      <c r="H86" s="7"/>
      <c r="I86" s="112"/>
      <c r="J86" s="112"/>
      <c r="K86" s="112"/>
      <c r="L86" s="112"/>
      <c r="AD86" s="112"/>
    </row>
    <row r="87" spans="2:30" x14ac:dyDescent="0.25">
      <c r="B87" s="176" t="s">
        <v>29</v>
      </c>
      <c r="C87" s="169">
        <f>VLOOKUP(B87,'Drop Down Master List'!$G$3:$H$88,2,FALSE)</f>
        <v>2.9585798816567999</v>
      </c>
      <c r="D87" s="144">
        <v>45</v>
      </c>
      <c r="E87" s="170">
        <f>2/45</f>
        <v>4.4444444444444446E-2</v>
      </c>
      <c r="F87" s="99">
        <f t="shared" si="14"/>
        <v>6.5746219592373326E-2</v>
      </c>
      <c r="G87" s="112"/>
      <c r="H87" s="112"/>
      <c r="I87" s="112"/>
      <c r="J87" s="112"/>
      <c r="K87" s="112"/>
      <c r="L87" s="112"/>
      <c r="AD87" s="112"/>
    </row>
    <row r="88" spans="2:30" x14ac:dyDescent="0.25">
      <c r="B88" s="176" t="s">
        <v>30</v>
      </c>
      <c r="C88" s="169">
        <f>VLOOKUP(B88,'Drop Down Master List'!$G$3:$H$88,2,FALSE)</f>
        <v>1.1834319526627199</v>
      </c>
      <c r="D88" s="144">
        <v>100</v>
      </c>
      <c r="E88" s="170">
        <f>5/100</f>
        <v>0.05</v>
      </c>
      <c r="F88" s="99">
        <f t="shared" si="14"/>
        <v>1.18343195266272E-2</v>
      </c>
      <c r="G88" s="112"/>
      <c r="H88" s="112"/>
      <c r="I88" s="112"/>
      <c r="J88" s="112"/>
      <c r="K88" s="112"/>
      <c r="L88" s="112"/>
      <c r="AD88" s="112"/>
    </row>
    <row r="89" spans="2:30" x14ac:dyDescent="0.25">
      <c r="B89" s="176" t="s">
        <v>237</v>
      </c>
      <c r="C89" s="169">
        <f>VLOOKUP(B89,'Drop Down Master List'!$G$3:$H$88,2,FALSE)</f>
        <v>27.6134122287968</v>
      </c>
      <c r="D89" s="144">
        <v>100</v>
      </c>
      <c r="E89" s="170">
        <f>100/100</f>
        <v>1</v>
      </c>
      <c r="F89" s="99">
        <f t="shared" si="14"/>
        <v>0.27613412228796802</v>
      </c>
      <c r="G89" s="112"/>
      <c r="H89" s="112"/>
      <c r="I89" s="112"/>
      <c r="J89" s="112"/>
      <c r="K89" s="112"/>
      <c r="L89" s="112"/>
      <c r="AD89" s="112"/>
    </row>
    <row r="90" spans="2:30" x14ac:dyDescent="0.25">
      <c r="B90" s="176" t="s">
        <v>238</v>
      </c>
      <c r="C90" s="169">
        <f>VLOOKUP(B90,'Drop Down Master List'!$G$3:$H$88,2,FALSE)</f>
        <v>24.6305418719211</v>
      </c>
      <c r="D90" s="144">
        <v>200</v>
      </c>
      <c r="E90" s="170">
        <v>1</v>
      </c>
      <c r="F90" s="99">
        <f t="shared" si="14"/>
        <v>0.1231527093596055</v>
      </c>
      <c r="G90" s="112"/>
      <c r="H90" s="112"/>
      <c r="I90" s="112"/>
      <c r="J90" s="112"/>
      <c r="K90" s="112"/>
      <c r="L90" s="112"/>
      <c r="AD90" s="112"/>
    </row>
    <row r="91" spans="2:30" x14ac:dyDescent="0.25">
      <c r="B91" s="176" t="s">
        <v>239</v>
      </c>
      <c r="C91" s="169">
        <f>VLOOKUP(B91,'Drop Down Master List'!$G$3:$H$88,2,FALSE)</f>
        <v>2.96</v>
      </c>
      <c r="D91" s="144">
        <v>1000</v>
      </c>
      <c r="E91" s="170">
        <v>1E-3</v>
      </c>
      <c r="F91" s="99">
        <f t="shared" si="14"/>
        <v>2.96E-3</v>
      </c>
      <c r="G91" s="112"/>
      <c r="H91" s="112"/>
      <c r="I91" s="112"/>
      <c r="J91" s="112"/>
      <c r="K91" s="112"/>
      <c r="L91" s="112"/>
      <c r="AD91" s="112"/>
    </row>
    <row r="92" spans="2:30" x14ac:dyDescent="0.25">
      <c r="B92" s="176" t="s">
        <v>246</v>
      </c>
      <c r="C92" s="169">
        <f>VLOOKUP(B92,'Drop Down Master List'!$G$3:$H$88,2,FALSE)</f>
        <v>35</v>
      </c>
      <c r="D92" s="144">
        <v>20000</v>
      </c>
      <c r="E92" s="170">
        <v>5.0000000000000001E-3</v>
      </c>
      <c r="F92" s="99">
        <f t="shared" si="14"/>
        <v>1.75E-3</v>
      </c>
      <c r="G92" s="112"/>
      <c r="H92" s="112"/>
      <c r="I92" s="112"/>
      <c r="J92" s="112"/>
      <c r="K92" s="112"/>
      <c r="L92" s="112"/>
      <c r="AD92" s="112"/>
    </row>
    <row r="93" spans="2:30" x14ac:dyDescent="0.25">
      <c r="B93" s="176" t="s">
        <v>240</v>
      </c>
      <c r="C93" s="169">
        <f>VLOOKUP(B93,'Drop Down Master List'!$G$3:$H$88,2,FALSE)</f>
        <v>35.89</v>
      </c>
      <c r="D93" s="144">
        <v>20000</v>
      </c>
      <c r="E93" s="170">
        <v>1.0416666666666666E-2</v>
      </c>
      <c r="F93" s="99">
        <f t="shared" si="14"/>
        <v>1.7945000000000001E-3</v>
      </c>
      <c r="G93" s="112"/>
      <c r="H93" s="112"/>
      <c r="I93" s="112"/>
      <c r="J93" s="112"/>
      <c r="K93" s="112"/>
      <c r="L93" s="112"/>
      <c r="AD93" s="112"/>
    </row>
    <row r="94" spans="2:30" x14ac:dyDescent="0.25">
      <c r="B94" s="176" t="s">
        <v>241</v>
      </c>
      <c r="C94" s="169">
        <f>VLOOKUP(B94,'Drop Down Master List'!$G$3:$H$88,2,FALSE)</f>
        <v>29.585798816568001</v>
      </c>
      <c r="D94" s="144">
        <v>960</v>
      </c>
      <c r="E94" s="170">
        <v>2.6041666666666668E-2</v>
      </c>
      <c r="F94" s="99">
        <f t="shared" si="14"/>
        <v>3.0818540433925002E-2</v>
      </c>
      <c r="G94" s="112"/>
      <c r="H94" s="112"/>
      <c r="I94" s="112"/>
      <c r="J94" s="112"/>
      <c r="K94" s="112"/>
      <c r="L94" s="112"/>
      <c r="AD94" s="112"/>
    </row>
    <row r="95" spans="2:30" x14ac:dyDescent="0.25">
      <c r="B95" s="176" t="s">
        <v>242</v>
      </c>
      <c r="C95" s="169">
        <f>VLOOKUP(B95,'Drop Down Master List'!$G$3:$H$88,2,FALSE)</f>
        <v>25</v>
      </c>
      <c r="D95" s="144">
        <v>34800</v>
      </c>
      <c r="E95" s="170">
        <f>1/34800</f>
        <v>2.8735632183908045E-5</v>
      </c>
      <c r="F95" s="99">
        <f t="shared" si="14"/>
        <v>7.1839080459770114E-4</v>
      </c>
      <c r="G95" s="112"/>
      <c r="H95" s="112"/>
      <c r="I95" s="112"/>
      <c r="J95" s="112"/>
      <c r="K95" s="112"/>
      <c r="L95" s="112"/>
      <c r="AD95" s="112"/>
    </row>
    <row r="96" spans="2:30" x14ac:dyDescent="0.25">
      <c r="B96" s="176" t="s">
        <v>243</v>
      </c>
      <c r="C96" s="169">
        <f>VLOOKUP(B96,'Drop Down Master List'!$G$3:$H$88,2,FALSE)</f>
        <v>19.723865877712001</v>
      </c>
      <c r="D96" s="144">
        <v>100</v>
      </c>
      <c r="E96" s="170">
        <f>100/100</f>
        <v>1</v>
      </c>
      <c r="F96" s="99">
        <f t="shared" si="14"/>
        <v>0.19723865877712002</v>
      </c>
      <c r="G96" s="112"/>
      <c r="H96" s="112"/>
      <c r="I96" s="112"/>
      <c r="J96" s="112"/>
      <c r="K96" s="112"/>
      <c r="L96" s="112"/>
      <c r="AD96" s="112"/>
    </row>
    <row r="97" spans="2:30" x14ac:dyDescent="0.25">
      <c r="B97" s="176" t="s">
        <v>244</v>
      </c>
      <c r="C97" s="169">
        <f>VLOOKUP(B97,'Drop Down Master List'!$G$3:$H$88,2,FALSE)</f>
        <v>10</v>
      </c>
      <c r="D97" s="144">
        <v>100</v>
      </c>
      <c r="E97" s="170">
        <f>100/100</f>
        <v>1</v>
      </c>
      <c r="F97" s="99">
        <f t="shared" si="14"/>
        <v>0.1</v>
      </c>
      <c r="G97" s="112"/>
      <c r="H97" s="112"/>
      <c r="I97" s="112"/>
      <c r="J97" s="112"/>
      <c r="K97" s="112"/>
      <c r="L97" s="112"/>
      <c r="AD97" s="112"/>
    </row>
    <row r="98" spans="2:30" x14ac:dyDescent="0.25">
      <c r="B98" s="176" t="s">
        <v>245</v>
      </c>
      <c r="C98" s="169">
        <f>VLOOKUP(B98,'Drop Down Master List'!$G$3:$H$88,2,FALSE)</f>
        <v>14</v>
      </c>
      <c r="D98" s="144">
        <v>500</v>
      </c>
      <c r="E98" s="170">
        <f>500/500</f>
        <v>1</v>
      </c>
      <c r="F98" s="99">
        <f t="shared" si="14"/>
        <v>2.8000000000000001E-2</v>
      </c>
      <c r="G98" s="112"/>
      <c r="H98" s="112"/>
      <c r="I98" s="112"/>
      <c r="J98" s="112"/>
      <c r="K98" s="112"/>
      <c r="L98" s="112"/>
      <c r="AD98" s="112"/>
    </row>
    <row r="99" spans="2:30" x14ac:dyDescent="0.25">
      <c r="B99" s="176" t="s">
        <v>247</v>
      </c>
      <c r="C99" s="169">
        <f>VLOOKUP(B99,'Drop Down Master List'!$G$3:$H$88,2,FALSE)</f>
        <v>0.1</v>
      </c>
      <c r="D99" s="144">
        <v>1</v>
      </c>
      <c r="E99" s="170">
        <f>1/1</f>
        <v>1</v>
      </c>
      <c r="F99" s="99">
        <f t="shared" si="14"/>
        <v>0.1</v>
      </c>
      <c r="G99" s="112"/>
      <c r="H99" s="112"/>
      <c r="I99" s="112"/>
      <c r="J99" s="112"/>
      <c r="K99" s="112"/>
      <c r="L99" s="112"/>
      <c r="AD99" s="112"/>
    </row>
    <row r="100" spans="2:30" x14ac:dyDescent="0.25">
      <c r="B100" s="176" t="s">
        <v>248</v>
      </c>
      <c r="C100" s="169">
        <f>VLOOKUP(B100,'Drop Down Master List'!$G$3:$H$88,2,FALSE)</f>
        <v>8</v>
      </c>
      <c r="D100" s="144">
        <v>1000</v>
      </c>
      <c r="E100" s="170">
        <f>4/1000</f>
        <v>4.0000000000000001E-3</v>
      </c>
      <c r="F100" s="99">
        <f t="shared" si="14"/>
        <v>8.0000000000000002E-3</v>
      </c>
      <c r="G100" s="112"/>
      <c r="H100" s="112"/>
      <c r="I100" s="112"/>
      <c r="J100" s="112"/>
      <c r="K100" s="112"/>
      <c r="L100" s="112"/>
      <c r="AD100" s="112"/>
    </row>
    <row r="101" spans="2:30" x14ac:dyDescent="0.25">
      <c r="B101" s="176" t="s">
        <v>249</v>
      </c>
      <c r="C101" s="169">
        <f>VLOOKUP(B101,'Drop Down Master List'!$G$3:$H$88,2,FALSE)</f>
        <v>0.14792899408283999</v>
      </c>
      <c r="D101" s="144">
        <v>5000</v>
      </c>
      <c r="E101" s="170">
        <f>50/5000</f>
        <v>0.01</v>
      </c>
      <c r="F101" s="99">
        <f t="shared" si="14"/>
        <v>2.9585798816568E-5</v>
      </c>
      <c r="G101" s="112"/>
      <c r="H101" s="112"/>
      <c r="I101" s="112"/>
      <c r="J101" s="112"/>
      <c r="K101" s="112"/>
      <c r="L101" s="112"/>
      <c r="AD101" s="112"/>
    </row>
    <row r="102" spans="2:30" ht="35.450000000000003" customHeight="1" x14ac:dyDescent="0.25">
      <c r="B102" s="177" t="s">
        <v>250</v>
      </c>
      <c r="C102" s="169">
        <f>VLOOKUP(B102,'Drop Down Master List'!$G$3:$H$88,2,FALSE)</f>
        <v>78</v>
      </c>
      <c r="D102" s="144">
        <v>50</v>
      </c>
      <c r="E102" s="170">
        <f>50/50</f>
        <v>1</v>
      </c>
      <c r="F102" s="99">
        <f t="shared" si="14"/>
        <v>1.56</v>
      </c>
      <c r="G102" s="112"/>
      <c r="H102" s="112"/>
      <c r="I102" s="112"/>
      <c r="J102" s="112"/>
      <c r="K102" s="112"/>
      <c r="L102" s="112"/>
      <c r="AD102" s="112"/>
    </row>
    <row r="103" spans="2:30" x14ac:dyDescent="0.25">
      <c r="B103" s="178" t="s">
        <v>251</v>
      </c>
      <c r="C103" s="169">
        <f>VLOOKUP(B103,'Drop Down Master List'!$G$3:$H$88,2,FALSE)</f>
        <v>28</v>
      </c>
      <c r="D103" s="144">
        <v>480</v>
      </c>
      <c r="E103" s="170">
        <f>480/480</f>
        <v>1</v>
      </c>
      <c r="F103" s="99">
        <f t="shared" si="14"/>
        <v>5.8333333333333334E-2</v>
      </c>
      <c r="G103" s="112"/>
      <c r="H103" s="112"/>
      <c r="I103" s="112"/>
      <c r="J103" s="112"/>
      <c r="K103" s="112"/>
      <c r="L103" s="112"/>
      <c r="AD103" s="112"/>
    </row>
    <row r="104" spans="2:30" x14ac:dyDescent="0.25">
      <c r="B104" s="178" t="s">
        <v>252</v>
      </c>
      <c r="C104" s="169">
        <f>VLOOKUP(B104,'Drop Down Master List'!$G$3:$H$88,2,FALSE)</f>
        <v>125</v>
      </c>
      <c r="D104" s="144">
        <v>1000</v>
      </c>
      <c r="E104" s="170">
        <f>1000/1000</f>
        <v>1</v>
      </c>
      <c r="F104" s="99">
        <f t="shared" si="14"/>
        <v>0.125</v>
      </c>
      <c r="G104" s="112"/>
      <c r="H104" s="112"/>
      <c r="I104" s="112"/>
      <c r="J104" s="112"/>
      <c r="K104" s="112"/>
      <c r="L104" s="112"/>
      <c r="AD104" s="112"/>
    </row>
    <row r="105" spans="2:30" x14ac:dyDescent="0.25">
      <c r="B105" s="179" t="s">
        <v>255</v>
      </c>
      <c r="C105" s="169">
        <f>VLOOKUP(B105,'Drop Down Master List'!$G$3:$H$88,2,FALSE)</f>
        <v>762.47692307692296</v>
      </c>
      <c r="D105" s="144">
        <v>288</v>
      </c>
      <c r="E105" s="170">
        <f>12/288</f>
        <v>4.1666666666666664E-2</v>
      </c>
      <c r="F105" s="99">
        <f t="shared" si="14"/>
        <v>2.6474893162393158</v>
      </c>
      <c r="G105" s="180"/>
      <c r="H105" s="112"/>
      <c r="I105" s="112"/>
      <c r="J105" s="112"/>
      <c r="K105" s="112"/>
      <c r="L105" s="112"/>
      <c r="AD105" s="112"/>
    </row>
    <row r="106" spans="2:30" x14ac:dyDescent="0.25">
      <c r="B106" s="179" t="s">
        <v>256</v>
      </c>
      <c r="C106" s="169">
        <f>VLOOKUP(B106,'Drop Down Master List'!$G$3:$H$88,2,FALSE)</f>
        <v>86.844181459566002</v>
      </c>
      <c r="D106" s="144">
        <v>432</v>
      </c>
      <c r="E106" s="170">
        <f>432/432</f>
        <v>1</v>
      </c>
      <c r="F106" s="99">
        <f t="shared" si="14"/>
        <v>0.20102819782306944</v>
      </c>
      <c r="G106" s="180"/>
      <c r="H106" s="112"/>
      <c r="I106" s="112"/>
      <c r="J106" s="112"/>
      <c r="K106" s="112"/>
      <c r="L106" s="112"/>
      <c r="AD106" s="112"/>
    </row>
    <row r="107" spans="2:30" x14ac:dyDescent="0.25">
      <c r="B107" s="179" t="s">
        <v>257</v>
      </c>
      <c r="C107" s="169">
        <f>VLOOKUP(B107,'Drop Down Master List'!$G$3:$H$88,2,FALSE)</f>
        <v>96.923076923076906</v>
      </c>
      <c r="D107" s="144">
        <v>288</v>
      </c>
      <c r="E107" s="170">
        <f>288/288</f>
        <v>1</v>
      </c>
      <c r="F107" s="99">
        <f t="shared" si="14"/>
        <v>0.33653846153846145</v>
      </c>
      <c r="G107" s="180"/>
      <c r="H107" s="112"/>
      <c r="I107" s="112"/>
      <c r="J107" s="112"/>
      <c r="K107" s="112"/>
      <c r="L107" s="112"/>
      <c r="AD107" s="112"/>
    </row>
    <row r="108" spans="2:30" x14ac:dyDescent="0.25">
      <c r="B108" s="179" t="s">
        <v>258</v>
      </c>
      <c r="C108" s="169">
        <f>VLOOKUP(B108,'Drop Down Master List'!$G$3:$H$88,2,FALSE)</f>
        <v>301.80473372781</v>
      </c>
      <c r="D108" s="144">
        <v>1152</v>
      </c>
      <c r="E108" s="170">
        <f>1152/1152</f>
        <v>1</v>
      </c>
      <c r="F108" s="99">
        <f t="shared" si="14"/>
        <v>0.2619832758053906</v>
      </c>
      <c r="G108" s="180"/>
      <c r="H108" s="112"/>
      <c r="I108" s="112"/>
      <c r="J108" s="112"/>
      <c r="K108" s="112"/>
      <c r="L108" s="112"/>
      <c r="AD108" s="112"/>
    </row>
    <row r="109" spans="2:30" x14ac:dyDescent="0.25">
      <c r="B109" s="179" t="s">
        <v>259</v>
      </c>
      <c r="C109" s="169">
        <f>VLOOKUP(B109,'Drop Down Master List'!$G$3:$H$88,2,FALSE)</f>
        <v>76.508875739644907</v>
      </c>
      <c r="D109" s="144">
        <v>120</v>
      </c>
      <c r="E109" s="170">
        <f>5/120</f>
        <v>4.1666666666666664E-2</v>
      </c>
      <c r="F109" s="99">
        <f t="shared" si="14"/>
        <v>0.63757396449704085</v>
      </c>
      <c r="G109" s="180"/>
      <c r="H109" s="112"/>
      <c r="I109" s="112"/>
      <c r="J109" s="112"/>
      <c r="K109" s="112"/>
      <c r="L109" s="112"/>
      <c r="AD109" s="112"/>
    </row>
    <row r="110" spans="2:30" x14ac:dyDescent="0.25">
      <c r="B110" s="179" t="s">
        <v>35</v>
      </c>
      <c r="C110" s="169">
        <f>VLOOKUP(B110,'Drop Down Master List'!$G$3:$H$88,2,FALSE)</f>
        <v>15</v>
      </c>
      <c r="D110" s="144">
        <v>400</v>
      </c>
      <c r="E110" s="170">
        <f>2.5/400</f>
        <v>6.2500000000000003E-3</v>
      </c>
      <c r="F110" s="99">
        <f t="shared" si="14"/>
        <v>3.7499999999999999E-2</v>
      </c>
      <c r="G110" s="181"/>
      <c r="H110" s="112"/>
      <c r="I110" s="112"/>
      <c r="J110" s="112"/>
      <c r="K110" s="112"/>
      <c r="L110" s="112"/>
      <c r="AD110" s="112"/>
    </row>
    <row r="111" spans="2:30" x14ac:dyDescent="0.25">
      <c r="B111" s="179" t="s">
        <v>36</v>
      </c>
      <c r="C111" s="169">
        <f>VLOOKUP(B111,'Drop Down Master List'!$G$3:$H$88,2,FALSE)</f>
        <v>220</v>
      </c>
      <c r="D111" s="144">
        <v>96</v>
      </c>
      <c r="E111" s="170">
        <f>96/96</f>
        <v>1</v>
      </c>
      <c r="F111" s="99">
        <f t="shared" si="14"/>
        <v>2.2916666666666665</v>
      </c>
      <c r="G111" s="181"/>
      <c r="H111" s="112"/>
      <c r="I111" s="112"/>
      <c r="J111" s="112"/>
      <c r="K111" s="112"/>
      <c r="L111" s="112"/>
      <c r="AD111" s="112"/>
    </row>
    <row r="112" spans="2:30" x14ac:dyDescent="0.25">
      <c r="B112" s="179" t="s">
        <v>260</v>
      </c>
      <c r="C112" s="169">
        <f>VLOOKUP(B112,'Drop Down Master List'!$G$3:$H$88,2,FALSE)</f>
        <v>381</v>
      </c>
      <c r="D112" s="182">
        <v>2304</v>
      </c>
      <c r="E112" s="170">
        <f>2304/2304</f>
        <v>1</v>
      </c>
      <c r="F112" s="99">
        <f t="shared" si="14"/>
        <v>0.16536458333333334</v>
      </c>
      <c r="G112" s="181"/>
      <c r="H112" s="174"/>
      <c r="I112" s="174"/>
      <c r="J112" s="174"/>
      <c r="K112" s="174"/>
      <c r="L112" s="174"/>
      <c r="M112" s="174"/>
      <c r="AD112" s="112"/>
    </row>
    <row r="113" spans="2:30" x14ac:dyDescent="0.25">
      <c r="B113" s="179" t="s">
        <v>261</v>
      </c>
      <c r="C113" s="169">
        <f>VLOOKUP(B113,'Drop Down Master List'!$G$3:$H$88,2,FALSE)</f>
        <v>381</v>
      </c>
      <c r="D113" s="182">
        <v>2304</v>
      </c>
      <c r="E113" s="170">
        <f>2304/2304</f>
        <v>1</v>
      </c>
      <c r="F113" s="99">
        <f t="shared" ref="F113:F138" si="15">IF(C113&gt;0,C113/D113,0)</f>
        <v>0.16536458333333334</v>
      </c>
      <c r="G113" s="181"/>
      <c r="H113" s="112"/>
      <c r="I113" s="112"/>
      <c r="J113" s="112"/>
      <c r="K113" s="112"/>
      <c r="L113" s="112"/>
      <c r="AD113" s="112"/>
    </row>
    <row r="114" spans="2:30" x14ac:dyDescent="0.25">
      <c r="B114" s="179" t="s">
        <v>262</v>
      </c>
      <c r="C114" s="169">
        <f>VLOOKUP(B114,'Drop Down Master List'!$G$3:$H$88,2,FALSE)</f>
        <v>180</v>
      </c>
      <c r="D114" s="144">
        <v>2000</v>
      </c>
      <c r="E114" s="170">
        <f>2000/2000</f>
        <v>1</v>
      </c>
      <c r="F114" s="99">
        <f t="shared" si="15"/>
        <v>0.09</v>
      </c>
      <c r="G114" s="181"/>
      <c r="H114" s="112"/>
      <c r="I114" s="112"/>
      <c r="J114" s="112"/>
      <c r="K114" s="112"/>
      <c r="L114" s="112"/>
      <c r="AD114" s="112"/>
    </row>
    <row r="115" spans="2:30" x14ac:dyDescent="0.25">
      <c r="B115" s="179" t="s">
        <v>263</v>
      </c>
      <c r="C115" s="169">
        <f>VLOOKUP(B115,'Drop Down Master List'!$G$3:$H$88,2,FALSE)</f>
        <v>44</v>
      </c>
      <c r="D115" s="144">
        <v>90</v>
      </c>
      <c r="E115" s="170">
        <f>90/90</f>
        <v>1</v>
      </c>
      <c r="F115" s="99">
        <f t="shared" si="15"/>
        <v>0.48888888888888887</v>
      </c>
      <c r="G115" s="181"/>
      <c r="H115" s="112"/>
      <c r="I115" s="112"/>
      <c r="J115" s="112"/>
      <c r="K115" s="112"/>
      <c r="L115" s="112"/>
      <c r="AD115" s="112"/>
    </row>
    <row r="116" spans="2:30" x14ac:dyDescent="0.25">
      <c r="B116" s="179" t="s">
        <v>264</v>
      </c>
      <c r="C116" s="169">
        <f>VLOOKUP(B116,'Drop Down Master List'!$G$3:$H$88,2,FALSE)</f>
        <v>308</v>
      </c>
      <c r="D116" s="144">
        <v>32</v>
      </c>
      <c r="E116" s="170">
        <f>32/32</f>
        <v>1</v>
      </c>
      <c r="F116" s="99">
        <f t="shared" si="15"/>
        <v>9.625</v>
      </c>
      <c r="G116" s="181"/>
      <c r="H116" s="112"/>
      <c r="I116" s="112"/>
      <c r="J116" s="112"/>
      <c r="K116" s="112"/>
      <c r="L116" s="112"/>
      <c r="AD116" s="112"/>
    </row>
    <row r="117" spans="2:30" x14ac:dyDescent="0.25">
      <c r="B117" s="179" t="s">
        <v>265</v>
      </c>
      <c r="C117" s="169">
        <f>VLOOKUP(B117,'Drop Down Master List'!$G$3:$H$88,2,FALSE)</f>
        <v>144</v>
      </c>
      <c r="D117" s="144">
        <v>150</v>
      </c>
      <c r="E117" s="170">
        <f>150/150</f>
        <v>1</v>
      </c>
      <c r="F117" s="99">
        <f t="shared" si="15"/>
        <v>0.96</v>
      </c>
      <c r="G117" s="181"/>
      <c r="H117" s="112"/>
      <c r="I117" s="112"/>
      <c r="J117" s="112"/>
      <c r="K117" s="112"/>
      <c r="L117" s="112"/>
      <c r="AD117" s="112"/>
    </row>
    <row r="118" spans="2:30" x14ac:dyDescent="0.25">
      <c r="B118" s="179" t="s">
        <v>266</v>
      </c>
      <c r="C118" s="169">
        <f>VLOOKUP(B118,'Drop Down Master List'!$G$3:$H$88,2,FALSE)</f>
        <v>96</v>
      </c>
      <c r="D118" s="144">
        <v>2000</v>
      </c>
      <c r="E118" s="170">
        <f>2000/2000</f>
        <v>1</v>
      </c>
      <c r="F118" s="99">
        <f t="shared" si="15"/>
        <v>4.8000000000000001E-2</v>
      </c>
      <c r="G118" s="181"/>
      <c r="H118" s="112"/>
      <c r="I118" s="112"/>
      <c r="J118" s="112"/>
      <c r="K118" s="112"/>
      <c r="L118" s="112"/>
      <c r="AD118" s="112"/>
    </row>
    <row r="119" spans="2:30" x14ac:dyDescent="0.25">
      <c r="B119" s="179" t="s">
        <v>267</v>
      </c>
      <c r="C119" s="169">
        <f>VLOOKUP(B119,'Drop Down Master List'!$G$3:$H$88,2,FALSE)</f>
        <v>384</v>
      </c>
      <c r="D119" s="144">
        <v>100</v>
      </c>
      <c r="E119" s="170">
        <f>100/100</f>
        <v>1</v>
      </c>
      <c r="F119" s="99">
        <f t="shared" si="15"/>
        <v>3.84</v>
      </c>
      <c r="G119" s="181"/>
      <c r="H119" s="112"/>
      <c r="I119" s="112"/>
      <c r="J119" s="112"/>
      <c r="K119" s="112"/>
      <c r="L119" s="112"/>
      <c r="AD119" s="112"/>
    </row>
    <row r="120" spans="2:30" x14ac:dyDescent="0.25">
      <c r="B120" s="179" t="s">
        <v>268</v>
      </c>
      <c r="C120" s="169">
        <f>VLOOKUP(B120,'Drop Down Master List'!$G$3:$H$88,2,FALSE)</f>
        <v>102.56410256410255</v>
      </c>
      <c r="D120" s="144">
        <v>960</v>
      </c>
      <c r="E120" s="170">
        <f>960/960</f>
        <v>1</v>
      </c>
      <c r="F120" s="99">
        <f t="shared" si="15"/>
        <v>0.10683760683760683</v>
      </c>
      <c r="G120" s="181"/>
      <c r="H120" s="112"/>
      <c r="I120" s="112"/>
      <c r="J120" s="112"/>
      <c r="K120" s="112"/>
      <c r="L120" s="112"/>
      <c r="AD120" s="112"/>
    </row>
    <row r="121" spans="2:30" x14ac:dyDescent="0.25">
      <c r="B121" s="179" t="s">
        <v>269</v>
      </c>
      <c r="C121" s="169">
        <f>VLOOKUP(B121,'Drop Down Master List'!$G$3:$H$88,2,FALSE)</f>
        <v>102.56410256410255</v>
      </c>
      <c r="D121" s="144">
        <v>960</v>
      </c>
      <c r="E121" s="170">
        <f>960/960</f>
        <v>1</v>
      </c>
      <c r="F121" s="99">
        <f t="shared" si="15"/>
        <v>0.10683760683760683</v>
      </c>
      <c r="G121" s="181"/>
      <c r="H121" s="112"/>
      <c r="I121" s="112"/>
      <c r="J121" s="112"/>
      <c r="K121" s="112"/>
      <c r="L121" s="112"/>
      <c r="AD121" s="112"/>
    </row>
    <row r="122" spans="2:30" x14ac:dyDescent="0.25">
      <c r="B122" s="179" t="s">
        <v>270</v>
      </c>
      <c r="C122" s="169">
        <f>VLOOKUP(B122,'Drop Down Master List'!$G$3:$H$88,2,FALSE)</f>
        <v>163</v>
      </c>
      <c r="D122" s="144">
        <v>1000</v>
      </c>
      <c r="E122" s="170">
        <f>1000/1000</f>
        <v>1</v>
      </c>
      <c r="F122" s="99">
        <f t="shared" si="15"/>
        <v>0.16300000000000001</v>
      </c>
      <c r="G122" s="181"/>
      <c r="H122" s="112"/>
      <c r="I122" s="112"/>
      <c r="J122" s="112"/>
      <c r="K122" s="112"/>
      <c r="L122" s="112"/>
      <c r="AD122" s="112"/>
    </row>
    <row r="123" spans="2:30" x14ac:dyDescent="0.25">
      <c r="B123" s="179" t="s">
        <v>271</v>
      </c>
      <c r="C123" s="169">
        <f>VLOOKUP(B123,'Drop Down Master List'!$G$3:$H$88,2,FALSE)</f>
        <v>28</v>
      </c>
      <c r="D123" s="144">
        <v>480</v>
      </c>
      <c r="E123" s="170">
        <f>480/480</f>
        <v>1</v>
      </c>
      <c r="F123" s="99">
        <f t="shared" si="15"/>
        <v>5.8333333333333334E-2</v>
      </c>
      <c r="G123" s="181"/>
      <c r="H123" s="112"/>
      <c r="I123" s="112"/>
      <c r="J123" s="112"/>
      <c r="K123" s="112"/>
      <c r="L123" s="112"/>
      <c r="AD123" s="112"/>
    </row>
    <row r="124" spans="2:30" x14ac:dyDescent="0.25">
      <c r="B124" s="179" t="s">
        <v>272</v>
      </c>
      <c r="C124" s="169">
        <f>VLOOKUP(B124,'Drop Down Master List'!$G$3:$H$88,2,FALSE)</f>
        <v>24.654832347140037</v>
      </c>
      <c r="D124" s="144">
        <v>100</v>
      </c>
      <c r="E124" s="170">
        <f>100/100</f>
        <v>1</v>
      </c>
      <c r="F124" s="99">
        <f t="shared" si="15"/>
        <v>0.24654832347140038</v>
      </c>
      <c r="G124" s="181"/>
      <c r="H124" s="112"/>
      <c r="I124" s="112"/>
      <c r="J124" s="112"/>
      <c r="K124" s="112"/>
      <c r="L124" s="112"/>
      <c r="AD124" s="112"/>
    </row>
    <row r="125" spans="2:30" x14ac:dyDescent="0.25">
      <c r="B125" s="178" t="s">
        <v>39</v>
      </c>
      <c r="C125" s="169">
        <f>VLOOKUP(B125,'Drop Down Master List'!$G$3:$H$88,2,FALSE)</f>
        <v>7.8895463510848103</v>
      </c>
      <c r="D125" s="144">
        <v>1920</v>
      </c>
      <c r="E125" s="170">
        <f>20/1920</f>
        <v>1.0416666666666666E-2</v>
      </c>
      <c r="F125" s="99">
        <f t="shared" si="15"/>
        <v>4.1091387245233389E-3</v>
      </c>
      <c r="G125" s="112"/>
      <c r="H125" s="112"/>
      <c r="I125" s="112"/>
      <c r="J125" s="112"/>
      <c r="K125" s="112"/>
      <c r="L125" s="112"/>
      <c r="AD125" s="112"/>
    </row>
    <row r="126" spans="2:30" x14ac:dyDescent="0.25">
      <c r="B126" s="178" t="s">
        <v>278</v>
      </c>
      <c r="C126" s="169">
        <f>VLOOKUP(B126,'Drop Down Master List'!$G$3:$H$88,2,FALSE)</f>
        <v>381</v>
      </c>
      <c r="D126" s="144">
        <v>2304</v>
      </c>
      <c r="E126" s="170">
        <f>2304/2304</f>
        <v>1</v>
      </c>
      <c r="F126" s="99">
        <f t="shared" si="15"/>
        <v>0.16536458333333334</v>
      </c>
      <c r="G126" s="112"/>
      <c r="H126" s="112"/>
      <c r="I126" s="112"/>
      <c r="J126" s="112"/>
      <c r="K126" s="112"/>
      <c r="L126" s="112"/>
      <c r="AD126" s="112"/>
    </row>
    <row r="127" spans="2:30" x14ac:dyDescent="0.25">
      <c r="B127" s="178" t="s">
        <v>279</v>
      </c>
      <c r="C127" s="169">
        <f>VLOOKUP(B127,'Drop Down Master List'!$G$3:$H$88,2,FALSE)</f>
        <v>381</v>
      </c>
      <c r="D127" s="144">
        <v>2304</v>
      </c>
      <c r="E127" s="170">
        <f>2304/2304</f>
        <v>1</v>
      </c>
      <c r="F127" s="99">
        <f t="shared" si="15"/>
        <v>0.16536458333333334</v>
      </c>
      <c r="G127" s="112"/>
      <c r="H127" s="112"/>
      <c r="I127" s="112"/>
      <c r="J127" s="112"/>
      <c r="K127" s="112"/>
      <c r="L127" s="112"/>
      <c r="AD127" s="112"/>
    </row>
    <row r="128" spans="2:30" x14ac:dyDescent="0.25">
      <c r="B128" s="178" t="s">
        <v>280</v>
      </c>
      <c r="C128" s="169">
        <f>VLOOKUP(B128,'Drop Down Master List'!$G$3:$H$88,2,FALSE)</f>
        <v>44</v>
      </c>
      <c r="D128" s="144">
        <v>90</v>
      </c>
      <c r="E128" s="170">
        <f>90/90</f>
        <v>1</v>
      </c>
      <c r="F128" s="99">
        <f t="shared" si="15"/>
        <v>0.48888888888888887</v>
      </c>
      <c r="G128" s="112"/>
      <c r="H128" s="112"/>
      <c r="I128" s="112"/>
      <c r="J128" s="112"/>
      <c r="K128" s="112"/>
      <c r="L128" s="112"/>
      <c r="AD128" s="112"/>
    </row>
    <row r="129" spans="2:30" x14ac:dyDescent="0.25">
      <c r="B129" s="178" t="s">
        <v>281</v>
      </c>
      <c r="C129" s="169">
        <f>VLOOKUP(B129,'Drop Down Master List'!$G$3:$H$88,2,FALSE)</f>
        <v>180</v>
      </c>
      <c r="D129" s="144">
        <v>2000</v>
      </c>
      <c r="E129" s="170">
        <f>2000/2000</f>
        <v>1</v>
      </c>
      <c r="F129" s="99">
        <f t="shared" si="15"/>
        <v>0.09</v>
      </c>
      <c r="G129" s="112"/>
      <c r="H129" s="112"/>
      <c r="I129" s="112"/>
      <c r="J129" s="112"/>
      <c r="K129" s="112"/>
      <c r="L129" s="112"/>
      <c r="AD129" s="112"/>
    </row>
    <row r="130" spans="2:30" x14ac:dyDescent="0.25">
      <c r="B130" s="178" t="s">
        <v>282</v>
      </c>
      <c r="C130" s="169">
        <f>VLOOKUP(B130,'Drop Down Master List'!$G$3:$H$88,2,FALSE)</f>
        <v>308</v>
      </c>
      <c r="D130" s="144">
        <v>32</v>
      </c>
      <c r="E130" s="170">
        <f>32/32</f>
        <v>1</v>
      </c>
      <c r="F130" s="99">
        <f t="shared" si="15"/>
        <v>9.625</v>
      </c>
      <c r="G130" s="112"/>
      <c r="H130" s="112"/>
      <c r="I130" s="112"/>
      <c r="J130" s="112"/>
      <c r="K130" s="112"/>
      <c r="L130" s="112"/>
      <c r="AD130" s="112"/>
    </row>
    <row r="131" spans="2:30" x14ac:dyDescent="0.25">
      <c r="B131" s="178" t="s">
        <v>283</v>
      </c>
      <c r="C131" s="169">
        <f>VLOOKUP(B131,'Drop Down Master List'!$G$3:$H$88,2,FALSE)</f>
        <v>384</v>
      </c>
      <c r="D131" s="144">
        <v>100</v>
      </c>
      <c r="E131" s="170">
        <f>100/100</f>
        <v>1</v>
      </c>
      <c r="F131" s="99">
        <f t="shared" si="15"/>
        <v>3.84</v>
      </c>
      <c r="G131" s="112"/>
      <c r="H131" s="112"/>
      <c r="I131" s="112"/>
      <c r="J131" s="112"/>
      <c r="K131" s="112"/>
      <c r="L131" s="112"/>
      <c r="AD131" s="112"/>
    </row>
    <row r="132" spans="2:30" x14ac:dyDescent="0.25">
      <c r="B132" s="178" t="s">
        <v>284</v>
      </c>
      <c r="C132" s="169">
        <f>VLOOKUP(B132,'Drop Down Master List'!$G$3:$H$88,2,FALSE)</f>
        <v>220</v>
      </c>
      <c r="D132" s="144">
        <v>96</v>
      </c>
      <c r="E132" s="170">
        <f>250/96</f>
        <v>2.6041666666666665</v>
      </c>
      <c r="F132" s="99">
        <f t="shared" si="15"/>
        <v>2.2916666666666665</v>
      </c>
      <c r="G132" s="112"/>
      <c r="H132" s="112"/>
      <c r="I132" s="112"/>
      <c r="J132" s="112"/>
      <c r="K132" s="112"/>
      <c r="L132" s="112"/>
      <c r="AD132" s="112"/>
    </row>
    <row r="133" spans="2:30" x14ac:dyDescent="0.25">
      <c r="B133" s="178" t="s">
        <v>285</v>
      </c>
      <c r="C133" s="169">
        <f>VLOOKUP(B133,'Drop Down Master List'!$G$3:$H$88,2,FALSE)</f>
        <v>97</v>
      </c>
      <c r="D133" s="144">
        <v>4800</v>
      </c>
      <c r="E133" s="170">
        <f>50/4800</f>
        <v>1.0416666666666666E-2</v>
      </c>
      <c r="F133" s="99">
        <f t="shared" si="15"/>
        <v>2.0208333333333332E-2</v>
      </c>
      <c r="G133" s="112"/>
      <c r="H133" s="112"/>
      <c r="I133" s="112"/>
      <c r="J133" s="112"/>
      <c r="K133" s="112"/>
      <c r="L133" s="112"/>
      <c r="AD133" s="112"/>
    </row>
    <row r="134" spans="2:30" x14ac:dyDescent="0.25">
      <c r="B134" s="178" t="s">
        <v>286</v>
      </c>
      <c r="C134" s="169">
        <f>VLOOKUP(B134,'Drop Down Master List'!$G$3:$H$88,2,FALSE)</f>
        <v>6.4102564102564097</v>
      </c>
      <c r="D134" s="144">
        <v>100</v>
      </c>
      <c r="E134" s="170">
        <f>100/100</f>
        <v>1</v>
      </c>
      <c r="F134" s="99">
        <f t="shared" si="15"/>
        <v>6.4102564102564097E-2</v>
      </c>
      <c r="G134" s="112"/>
      <c r="H134" s="112"/>
      <c r="I134" s="112"/>
      <c r="J134" s="112"/>
      <c r="K134" s="112"/>
      <c r="L134" s="112"/>
      <c r="AD134" s="112"/>
    </row>
    <row r="135" spans="2:30" x14ac:dyDescent="0.25">
      <c r="B135" s="178" t="s">
        <v>287</v>
      </c>
      <c r="C135" s="169">
        <f>VLOOKUP(B135,'Drop Down Master List'!$G$3:$H$88,2,FALSE)</f>
        <v>105</v>
      </c>
      <c r="D135" s="144">
        <v>500</v>
      </c>
      <c r="E135" s="170">
        <f>500/500</f>
        <v>1</v>
      </c>
      <c r="F135" s="99">
        <f t="shared" si="15"/>
        <v>0.21</v>
      </c>
      <c r="G135" s="112"/>
      <c r="H135" s="112"/>
      <c r="I135" s="112"/>
      <c r="J135" s="112"/>
      <c r="K135" s="112"/>
      <c r="L135" s="112"/>
      <c r="AD135" s="112"/>
    </row>
    <row r="136" spans="2:30" x14ac:dyDescent="0.25">
      <c r="B136" s="183" t="s">
        <v>289</v>
      </c>
      <c r="C136" s="169">
        <f>VLOOKUP(B136,'Drop Down Master List'!$G$3:$H$88,2,FALSE)</f>
        <v>5.38</v>
      </c>
      <c r="D136" s="144">
        <v>500</v>
      </c>
      <c r="E136" s="170">
        <f>500/500</f>
        <v>1</v>
      </c>
      <c r="F136" s="99">
        <f t="shared" si="15"/>
        <v>1.076E-2</v>
      </c>
      <c r="G136" s="112"/>
      <c r="H136" s="112"/>
      <c r="I136" s="112"/>
      <c r="J136" s="112"/>
      <c r="K136" s="112"/>
      <c r="L136" s="112"/>
      <c r="AD136" s="112"/>
    </row>
    <row r="137" spans="2:30" x14ac:dyDescent="0.25">
      <c r="B137" s="178" t="s">
        <v>290</v>
      </c>
      <c r="C137" s="169">
        <f>VLOOKUP(B137,'Drop Down Master List'!$G$3:$H$88,2,FALSE)</f>
        <v>24.654832347140001</v>
      </c>
      <c r="D137" s="144">
        <v>10000</v>
      </c>
      <c r="E137" s="170">
        <f>5/10000</f>
        <v>5.0000000000000001E-4</v>
      </c>
      <c r="F137" s="99">
        <f t="shared" si="15"/>
        <v>2.4654832347140001E-3</v>
      </c>
      <c r="G137" s="112"/>
      <c r="H137" s="112"/>
      <c r="I137" s="112"/>
      <c r="J137" s="112"/>
      <c r="K137" s="112"/>
      <c r="L137" s="112"/>
      <c r="AD137" s="112"/>
    </row>
    <row r="138" spans="2:30" x14ac:dyDescent="0.25">
      <c r="B138" s="176" t="s">
        <v>291</v>
      </c>
      <c r="C138" s="169">
        <f>VLOOKUP(B138,'Drop Down Master List'!$G$3:$H$88,2,FALSE)</f>
        <v>16.765285996055226</v>
      </c>
      <c r="D138" s="144">
        <v>29</v>
      </c>
      <c r="E138" s="170">
        <f>100/29</f>
        <v>3.4482758620689653</v>
      </c>
      <c r="F138" s="99">
        <f t="shared" si="15"/>
        <v>0.57811331020880086</v>
      </c>
      <c r="G138" s="112"/>
      <c r="H138" s="112"/>
      <c r="I138" s="112"/>
      <c r="J138" s="112"/>
      <c r="K138" s="112"/>
      <c r="L138" s="112"/>
      <c r="AD138" s="112"/>
    </row>
    <row r="139" spans="2:30" x14ac:dyDescent="0.25">
      <c r="B139" s="184" t="s">
        <v>292</v>
      </c>
      <c r="C139" s="169">
        <f>VLOOKUP(B139,'Drop Down Master List'!$G$3:$H$88,2,FALSE)</f>
        <v>6.2130177514792893</v>
      </c>
      <c r="D139" s="144">
        <v>100</v>
      </c>
      <c r="E139" s="170">
        <f>100/100</f>
        <v>1</v>
      </c>
      <c r="F139" s="99">
        <f t="shared" ref="F139:F164" si="16">IF(C139&gt;0,C139/D139,0)</f>
        <v>6.2130177514792891E-2</v>
      </c>
      <c r="G139" s="112"/>
      <c r="H139" s="112"/>
      <c r="I139" s="112"/>
      <c r="J139" s="112"/>
      <c r="K139" s="112"/>
      <c r="L139" s="112"/>
      <c r="AD139" s="112"/>
    </row>
    <row r="140" spans="2:30" x14ac:dyDescent="0.25">
      <c r="B140" s="184" t="s">
        <v>293</v>
      </c>
      <c r="C140" s="169">
        <f>VLOOKUP(B140,'Drop Down Master List'!$G$3:$H$88,2,FALSE)</f>
        <v>192.30769230769229</v>
      </c>
      <c r="D140" s="144">
        <v>10</v>
      </c>
      <c r="E140" s="170">
        <f>500/10</f>
        <v>50</v>
      </c>
      <c r="F140" s="99">
        <f t="shared" si="16"/>
        <v>19.23076923076923</v>
      </c>
      <c r="G140" s="112"/>
      <c r="H140" s="112"/>
      <c r="I140" s="112"/>
      <c r="J140" s="112"/>
      <c r="K140" s="112"/>
      <c r="L140" s="112"/>
      <c r="AD140" s="112"/>
    </row>
    <row r="141" spans="2:30" x14ac:dyDescent="0.25">
      <c r="B141" s="185" t="s">
        <v>294</v>
      </c>
      <c r="C141" s="169">
        <f>VLOOKUP(B141,'Drop Down Master List'!$G$3:$H$88,2,FALSE)</f>
        <v>118.34319526627219</v>
      </c>
      <c r="D141" s="186">
        <v>500</v>
      </c>
      <c r="E141" s="187">
        <f>500/500</f>
        <v>1</v>
      </c>
      <c r="F141" s="99">
        <f t="shared" si="16"/>
        <v>0.23668639053254437</v>
      </c>
      <c r="G141" s="112"/>
      <c r="H141" s="112"/>
      <c r="I141" s="112"/>
      <c r="J141" s="112"/>
      <c r="K141" s="112"/>
      <c r="L141" s="112"/>
      <c r="AD141" s="112"/>
    </row>
    <row r="142" spans="2:30" x14ac:dyDescent="0.25">
      <c r="B142" s="188" t="s">
        <v>295</v>
      </c>
      <c r="C142" s="169">
        <f>VLOOKUP(B142,'Drop Down Master List'!$G$3:$H$88,2,FALSE)</f>
        <v>9.8619329388560146</v>
      </c>
      <c r="D142" s="186">
        <v>100</v>
      </c>
      <c r="E142" s="187">
        <f>100/100</f>
        <v>1</v>
      </c>
      <c r="F142" s="99">
        <f t="shared" si="16"/>
        <v>9.8619329388560148E-2</v>
      </c>
      <c r="G142" s="112"/>
      <c r="H142" s="112"/>
      <c r="I142" s="112"/>
      <c r="J142" s="112"/>
      <c r="K142" s="112"/>
      <c r="L142" s="112"/>
      <c r="AD142" s="112"/>
    </row>
    <row r="143" spans="2:30" x14ac:dyDescent="0.25">
      <c r="B143" s="188" t="s">
        <v>296</v>
      </c>
      <c r="C143" s="169">
        <f>VLOOKUP(B143,'Drop Down Master List'!$G$3:$H$88,2,FALSE)</f>
        <v>11.932938856015779</v>
      </c>
      <c r="D143" s="186">
        <v>200</v>
      </c>
      <c r="E143" s="187">
        <f>1000/200</f>
        <v>5</v>
      </c>
      <c r="F143" s="99">
        <f t="shared" si="16"/>
        <v>5.9664694280078895E-2</v>
      </c>
      <c r="G143" s="112"/>
      <c r="H143" s="112"/>
      <c r="I143" s="112"/>
      <c r="J143" s="112"/>
      <c r="K143" s="112"/>
      <c r="L143" s="112"/>
      <c r="AD143" s="112"/>
    </row>
    <row r="144" spans="2:30" x14ac:dyDescent="0.25">
      <c r="B144" s="188" t="s">
        <v>297</v>
      </c>
      <c r="C144" s="169">
        <f>VLOOKUP(B144,'Drop Down Master List'!$G$3:$H$88,2,FALSE)</f>
        <v>2.7120315581854042</v>
      </c>
      <c r="D144" s="186">
        <v>467</v>
      </c>
      <c r="E144" s="187">
        <f>1/467</f>
        <v>2.1413276231263384E-3</v>
      </c>
      <c r="F144" s="99">
        <f t="shared" si="16"/>
        <v>5.8073480903327711E-3</v>
      </c>
      <c r="G144" s="112"/>
      <c r="H144" s="112"/>
      <c r="I144" s="112"/>
      <c r="J144" s="112"/>
      <c r="K144" s="112"/>
      <c r="L144" s="112"/>
      <c r="AD144" s="112"/>
    </row>
    <row r="145" spans="2:30" x14ac:dyDescent="0.25">
      <c r="B145" s="188" t="s">
        <v>298</v>
      </c>
      <c r="C145" s="169">
        <f>VLOOKUP(B145,'Drop Down Master List'!$G$3:$H$88,2,FALSE)</f>
        <v>4.9309664694280073</v>
      </c>
      <c r="D145" s="186">
        <v>972</v>
      </c>
      <c r="E145" s="187">
        <f>1/972</f>
        <v>1.02880658436214E-3</v>
      </c>
      <c r="F145" s="99">
        <f t="shared" si="16"/>
        <v>5.0730107710164687E-3</v>
      </c>
      <c r="G145" s="112"/>
      <c r="H145" s="112"/>
      <c r="I145" s="112"/>
      <c r="J145" s="112"/>
      <c r="K145" s="112"/>
      <c r="L145" s="112"/>
      <c r="AD145" s="112"/>
    </row>
    <row r="146" spans="2:30" x14ac:dyDescent="0.25">
      <c r="B146" s="188" t="s">
        <v>299</v>
      </c>
      <c r="C146" s="169">
        <f>VLOOKUP(B146,'Drop Down Master List'!$G$3:$H$88,2,FALSE)</f>
        <v>29.585798816568047</v>
      </c>
      <c r="D146" s="186">
        <v>20000</v>
      </c>
      <c r="E146" s="187">
        <f>12/20000</f>
        <v>5.9999999999999995E-4</v>
      </c>
      <c r="F146" s="99">
        <f t="shared" si="16"/>
        <v>1.4792899408284023E-3</v>
      </c>
      <c r="G146" s="112"/>
      <c r="H146" s="112"/>
      <c r="I146" s="112"/>
      <c r="J146" s="112"/>
      <c r="K146" s="112"/>
      <c r="L146" s="112"/>
      <c r="AD146" s="112"/>
    </row>
    <row r="147" spans="2:30" x14ac:dyDescent="0.25">
      <c r="B147" s="188" t="s">
        <v>300</v>
      </c>
      <c r="C147" s="169">
        <f>VLOOKUP(B147,'Drop Down Master List'!$G$3:$H$88,2,FALSE)</f>
        <v>0.90729783037475342</v>
      </c>
      <c r="D147" s="186">
        <v>3000</v>
      </c>
      <c r="E147" s="187">
        <f>5000/3000</f>
        <v>1.6666666666666667</v>
      </c>
      <c r="F147" s="99">
        <f t="shared" si="16"/>
        <v>3.0243261012491781E-4</v>
      </c>
      <c r="G147" s="112"/>
      <c r="H147" s="112"/>
      <c r="I147" s="112"/>
      <c r="J147" s="112"/>
      <c r="K147" s="112"/>
      <c r="L147" s="112"/>
      <c r="AD147" s="112"/>
    </row>
    <row r="148" spans="2:30" x14ac:dyDescent="0.25">
      <c r="B148" s="188" t="s">
        <v>301</v>
      </c>
      <c r="C148" s="169">
        <f>VLOOKUP(B148,'Drop Down Master List'!$G$3:$H$88,2,FALSE)</f>
        <v>0.98619329388560151</v>
      </c>
      <c r="D148" s="186">
        <v>700</v>
      </c>
      <c r="E148" s="187">
        <f>25/700</f>
        <v>3.5714285714285712E-2</v>
      </c>
      <c r="F148" s="99">
        <f t="shared" si="16"/>
        <v>1.4088475626937165E-3</v>
      </c>
      <c r="G148" s="112"/>
      <c r="H148" s="112"/>
      <c r="I148" s="112"/>
      <c r="J148" s="112"/>
      <c r="K148" s="112"/>
      <c r="L148" s="112"/>
      <c r="AD148" s="112"/>
    </row>
    <row r="149" spans="2:30" x14ac:dyDescent="0.25">
      <c r="B149" s="188" t="s">
        <v>302</v>
      </c>
      <c r="C149" s="169">
        <f>VLOOKUP(B149,'Drop Down Master List'!$G$3:$H$88,2,FALSE)</f>
        <v>0.59171597633136086</v>
      </c>
      <c r="D149" s="186">
        <v>175</v>
      </c>
      <c r="E149" s="187">
        <f>25/175</f>
        <v>0.14285714285714285</v>
      </c>
      <c r="F149" s="99">
        <f t="shared" si="16"/>
        <v>3.3812341504649191E-3</v>
      </c>
      <c r="G149" s="112"/>
      <c r="H149" s="112"/>
      <c r="I149" s="112"/>
      <c r="J149" s="112"/>
      <c r="K149" s="112"/>
      <c r="L149" s="112"/>
      <c r="AD149" s="112"/>
    </row>
    <row r="150" spans="2:30" x14ac:dyDescent="0.25">
      <c r="B150" s="188" t="s">
        <v>303</v>
      </c>
      <c r="C150" s="169">
        <f>VLOOKUP(B150,'Drop Down Master List'!$G$3:$H$88,2,FALSE)</f>
        <v>0.29585798816568043</v>
      </c>
      <c r="D150" s="186">
        <v>700</v>
      </c>
      <c r="E150" s="187">
        <f>25/700</f>
        <v>3.5714285714285712E-2</v>
      </c>
      <c r="F150" s="99">
        <f t="shared" si="16"/>
        <v>4.2265426880811488E-4</v>
      </c>
      <c r="G150" s="112"/>
      <c r="H150" s="112"/>
      <c r="I150" s="112"/>
      <c r="J150" s="112"/>
      <c r="K150" s="112"/>
      <c r="L150" s="112"/>
      <c r="AD150" s="112"/>
    </row>
    <row r="151" spans="2:30" x14ac:dyDescent="0.25">
      <c r="B151" s="188" t="s">
        <v>304</v>
      </c>
      <c r="C151" s="169">
        <f>VLOOKUP(B151,'Drop Down Master List'!$G$3:$H$88,2,FALSE)</f>
        <v>6.4102564102564097</v>
      </c>
      <c r="D151" s="186">
        <v>500</v>
      </c>
      <c r="E151" s="187">
        <f>850/500</f>
        <v>1.7</v>
      </c>
      <c r="F151" s="99">
        <f t="shared" si="16"/>
        <v>1.282051282051282E-2</v>
      </c>
      <c r="G151" s="112"/>
      <c r="H151" s="112"/>
      <c r="I151" s="112"/>
      <c r="J151" s="112"/>
      <c r="K151" s="112"/>
      <c r="L151" s="112"/>
      <c r="AD151" s="112"/>
    </row>
    <row r="152" spans="2:30" x14ac:dyDescent="0.25">
      <c r="B152" s="188" t="s">
        <v>305</v>
      </c>
      <c r="C152" s="169">
        <f>VLOOKUP(B152,'Drop Down Master List'!$G$3:$H$88,2,FALSE)</f>
        <v>58.6</v>
      </c>
      <c r="D152" s="186">
        <v>1500</v>
      </c>
      <c r="E152" s="187">
        <f>5/1500</f>
        <v>3.3333333333333335E-3</v>
      </c>
      <c r="F152" s="99">
        <f t="shared" si="16"/>
        <v>3.9066666666666666E-2</v>
      </c>
      <c r="G152" s="112"/>
      <c r="H152" s="112"/>
      <c r="I152" s="112"/>
      <c r="J152" s="112"/>
      <c r="K152" s="112"/>
      <c r="L152" s="112"/>
      <c r="AD152" s="112"/>
    </row>
    <row r="153" spans="2:30" x14ac:dyDescent="0.25">
      <c r="B153" s="188" t="s">
        <v>306</v>
      </c>
      <c r="C153" s="169">
        <f>VLOOKUP(B153,'Drop Down Master List'!$G$3:$H$88,2,FALSE)</f>
        <v>1.8934911242603549</v>
      </c>
      <c r="D153" s="186">
        <v>467</v>
      </c>
      <c r="E153" s="187">
        <f>1/467</f>
        <v>2.1413276231263384E-3</v>
      </c>
      <c r="F153" s="99">
        <f t="shared" si="16"/>
        <v>4.0545848485232438E-3</v>
      </c>
      <c r="G153" s="112"/>
      <c r="H153" s="112"/>
      <c r="I153" s="112"/>
      <c r="J153" s="112"/>
      <c r="K153" s="112"/>
      <c r="L153" s="112"/>
      <c r="AD153" s="112"/>
    </row>
    <row r="154" spans="2:30" x14ac:dyDescent="0.25">
      <c r="B154" s="188" t="s">
        <v>317</v>
      </c>
      <c r="C154" s="169">
        <f>VLOOKUP(B154,'Drop Down Master List'!$G$3:$H$88,2,FALSE)</f>
        <v>0.43392504930966469</v>
      </c>
      <c r="D154" s="186">
        <v>467</v>
      </c>
      <c r="E154" s="187">
        <f>1/467</f>
        <v>2.1413276231263384E-3</v>
      </c>
      <c r="F154" s="99">
        <f t="shared" si="16"/>
        <v>9.2917569445324347E-4</v>
      </c>
      <c r="G154" s="112"/>
      <c r="H154" s="112"/>
      <c r="I154" s="112"/>
      <c r="J154" s="112"/>
      <c r="K154" s="112"/>
      <c r="L154" s="112"/>
      <c r="AD154" s="112"/>
    </row>
    <row r="155" spans="2:30" x14ac:dyDescent="0.25">
      <c r="B155" s="188" t="s">
        <v>307</v>
      </c>
      <c r="C155" s="169">
        <f>VLOOKUP(B155,'Drop Down Master List'!$G$3:$H$88,2,FALSE)</f>
        <v>0.78895463510848118</v>
      </c>
      <c r="D155" s="186">
        <v>100</v>
      </c>
      <c r="E155" s="187">
        <f>100/100</f>
        <v>1</v>
      </c>
      <c r="F155" s="99">
        <f t="shared" si="16"/>
        <v>7.8895463510848113E-3</v>
      </c>
      <c r="G155" s="112"/>
      <c r="H155" s="112"/>
      <c r="I155" s="112"/>
      <c r="J155" s="112"/>
      <c r="K155" s="112"/>
      <c r="L155" s="112"/>
      <c r="AD155" s="112"/>
    </row>
    <row r="156" spans="2:30" x14ac:dyDescent="0.25">
      <c r="B156" s="188" t="s">
        <v>308</v>
      </c>
      <c r="C156" s="169">
        <f>VLOOKUP(B156,'Drop Down Master List'!$G$3:$H$88,2,FALSE)</f>
        <v>29.585798816568047</v>
      </c>
      <c r="D156" s="186">
        <v>4000</v>
      </c>
      <c r="E156" s="187">
        <f>50/4000</f>
        <v>1.2500000000000001E-2</v>
      </c>
      <c r="F156" s="99">
        <f t="shared" si="16"/>
        <v>7.3964497041420114E-3</v>
      </c>
      <c r="G156" s="112"/>
      <c r="H156" s="112"/>
      <c r="I156" s="112"/>
      <c r="J156" s="112"/>
      <c r="K156" s="112"/>
      <c r="L156" s="112"/>
      <c r="AD156" s="112"/>
    </row>
    <row r="157" spans="2:30" x14ac:dyDescent="0.25">
      <c r="B157" s="188" t="s">
        <v>309</v>
      </c>
      <c r="C157" s="169">
        <f>VLOOKUP(B157,'Drop Down Master List'!$G$3:$H$88,2,FALSE)</f>
        <v>83.826429980276131</v>
      </c>
      <c r="D157" s="186">
        <v>2500</v>
      </c>
      <c r="E157" s="187">
        <f>1/2500</f>
        <v>4.0000000000000002E-4</v>
      </c>
      <c r="F157" s="99">
        <f t="shared" si="16"/>
        <v>3.3530571992110451E-2</v>
      </c>
      <c r="G157" s="112"/>
      <c r="H157" s="112"/>
      <c r="I157" s="112"/>
      <c r="J157" s="112"/>
      <c r="K157" s="112"/>
      <c r="L157" s="112"/>
      <c r="AD157" s="112"/>
    </row>
    <row r="158" spans="2:30" x14ac:dyDescent="0.25">
      <c r="B158" s="188" t="s">
        <v>310</v>
      </c>
      <c r="C158" s="169">
        <f>VLOOKUP(B158,'Drop Down Master List'!$G$3:$H$88,2,FALSE)</f>
        <v>85.207100591715971</v>
      </c>
      <c r="D158" s="186">
        <v>2500</v>
      </c>
      <c r="E158" s="187">
        <f>1/2500</f>
        <v>4.0000000000000002E-4</v>
      </c>
      <c r="F158" s="99">
        <f t="shared" si="16"/>
        <v>3.4082840236686389E-2</v>
      </c>
      <c r="G158" s="112"/>
      <c r="H158" s="112"/>
      <c r="I158" s="112"/>
      <c r="J158" s="112"/>
      <c r="K158" s="112"/>
      <c r="L158" s="112"/>
      <c r="AD158" s="112"/>
    </row>
    <row r="159" spans="2:30" x14ac:dyDescent="0.25">
      <c r="B159" s="188" t="s">
        <v>311</v>
      </c>
      <c r="C159" s="169">
        <f>VLOOKUP(B159,'Drop Down Master List'!$G$3:$H$88,2,FALSE)</f>
        <v>129.46745562130178</v>
      </c>
      <c r="D159" s="186">
        <v>2500</v>
      </c>
      <c r="E159" s="187">
        <f>1/2500</f>
        <v>4.0000000000000002E-4</v>
      </c>
      <c r="F159" s="99">
        <f t="shared" si="16"/>
        <v>5.1786982248520713E-2</v>
      </c>
      <c r="G159" s="112"/>
      <c r="H159" s="112"/>
      <c r="I159" s="112"/>
      <c r="J159" s="112"/>
      <c r="K159" s="112"/>
      <c r="L159" s="112"/>
      <c r="AD159" s="112"/>
    </row>
    <row r="160" spans="2:30" x14ac:dyDescent="0.25">
      <c r="B160" s="188" t="s">
        <v>312</v>
      </c>
      <c r="C160" s="169">
        <f>VLOOKUP(B160,'Drop Down Master List'!$G$3:$H$88,2,FALSE)</f>
        <v>152.95857988165679</v>
      </c>
      <c r="D160" s="186">
        <v>2500</v>
      </c>
      <c r="E160" s="187">
        <f>1/2500</f>
        <v>4.0000000000000002E-4</v>
      </c>
      <c r="F160" s="99">
        <f t="shared" si="16"/>
        <v>6.1183431952662716E-2</v>
      </c>
      <c r="G160" s="112"/>
      <c r="H160" s="112"/>
      <c r="I160" s="112"/>
      <c r="J160" s="112"/>
      <c r="K160" s="112"/>
      <c r="L160" s="112"/>
      <c r="AD160" s="112"/>
    </row>
    <row r="161" spans="2:30" x14ac:dyDescent="0.25">
      <c r="B161" s="188" t="s">
        <v>31</v>
      </c>
      <c r="C161" s="169">
        <f>VLOOKUP(B161,'Drop Down Master List'!$G$3:$H$88,2,FALSE)</f>
        <v>0.01</v>
      </c>
      <c r="D161" s="186">
        <v>1</v>
      </c>
      <c r="E161" s="187">
        <v>1</v>
      </c>
      <c r="F161" s="99">
        <f t="shared" si="16"/>
        <v>0.01</v>
      </c>
      <c r="G161" s="112"/>
      <c r="H161" s="112"/>
      <c r="I161" s="112"/>
      <c r="J161" s="112"/>
      <c r="K161" s="112"/>
      <c r="L161" s="112"/>
      <c r="AD161" s="112"/>
    </row>
    <row r="162" spans="2:30" x14ac:dyDescent="0.25">
      <c r="B162" s="188" t="s">
        <v>314</v>
      </c>
      <c r="C162" s="169">
        <f>VLOOKUP(B162,'Drop Down Master List'!$G$3:$H$88,2,FALSE)</f>
        <v>4.47</v>
      </c>
      <c r="D162" s="186">
        <v>10000</v>
      </c>
      <c r="E162" s="187">
        <f>1/10000</f>
        <v>1E-4</v>
      </c>
      <c r="F162" s="99">
        <f t="shared" si="16"/>
        <v>4.4699999999999997E-4</v>
      </c>
      <c r="G162" s="112"/>
      <c r="H162" s="112"/>
      <c r="I162" s="112"/>
      <c r="J162" s="112"/>
      <c r="K162" s="112"/>
      <c r="L162" s="112"/>
      <c r="AD162" s="112"/>
    </row>
    <row r="163" spans="2:30" x14ac:dyDescent="0.25">
      <c r="B163" s="188" t="s">
        <v>315</v>
      </c>
      <c r="C163" s="169">
        <f>VLOOKUP(B163,'Drop Down Master List'!$G$3:$H$88,2,FALSE)</f>
        <v>26.92</v>
      </c>
      <c r="D163" s="186">
        <v>100</v>
      </c>
      <c r="E163" s="187">
        <f>100/100</f>
        <v>1</v>
      </c>
      <c r="F163" s="99">
        <f t="shared" si="16"/>
        <v>0.26919999999999999</v>
      </c>
      <c r="G163" s="112"/>
      <c r="H163" s="112"/>
      <c r="I163" s="112"/>
      <c r="J163" s="112"/>
      <c r="K163" s="112"/>
      <c r="L163" s="112"/>
      <c r="AD163" s="112"/>
    </row>
    <row r="164" spans="2:30" x14ac:dyDescent="0.25">
      <c r="B164" s="189" t="s">
        <v>316</v>
      </c>
      <c r="C164" s="169">
        <f>VLOOKUP(B164,'Drop Down Master List'!$G$3:$H$88,2,FALSE)</f>
        <v>4.47</v>
      </c>
      <c r="D164" s="186">
        <v>1000</v>
      </c>
      <c r="E164" s="187">
        <f>3.5/1000</f>
        <v>3.5000000000000001E-3</v>
      </c>
      <c r="F164" s="100">
        <f t="shared" si="16"/>
        <v>4.47E-3</v>
      </c>
      <c r="G164" s="112"/>
      <c r="H164" s="112"/>
      <c r="I164" s="112"/>
      <c r="J164" s="112"/>
      <c r="K164" s="112"/>
      <c r="L164" s="112"/>
      <c r="AD164" s="112"/>
    </row>
    <row r="165" spans="2:30" x14ac:dyDescent="0.25">
      <c r="B165" s="190" t="s">
        <v>86</v>
      </c>
      <c r="C165" s="169">
        <f>VLOOKUP(B165,'Drop Down Master List'!$G$3:$H$88,2,FALSE)</f>
        <v>0</v>
      </c>
      <c r="D165" s="144"/>
      <c r="E165" s="191"/>
      <c r="F165" s="101"/>
      <c r="G165" s="112"/>
      <c r="H165" s="112"/>
      <c r="I165" s="112"/>
      <c r="J165" s="112"/>
      <c r="K165" s="112"/>
      <c r="L165" s="112"/>
      <c r="AD165" s="112"/>
    </row>
    <row r="166" spans="2:30" hidden="1" x14ac:dyDescent="0.25">
      <c r="B166" s="190" t="s">
        <v>86</v>
      </c>
      <c r="C166" s="169">
        <f>VLOOKUP(B166,'Drop Down Master List'!$G$3:$H$88,2,FALSE)</f>
        <v>0</v>
      </c>
      <c r="D166" s="144"/>
      <c r="E166" s="191"/>
      <c r="F166" s="102"/>
      <c r="G166" s="112"/>
      <c r="H166" s="112"/>
      <c r="I166" s="112"/>
      <c r="J166" s="112"/>
      <c r="K166" s="112"/>
      <c r="L166" s="112"/>
      <c r="AD166" s="112"/>
    </row>
    <row r="167" spans="2:30" x14ac:dyDescent="0.25">
      <c r="B167" s="190" t="s">
        <v>86</v>
      </c>
      <c r="C167" s="169">
        <f>VLOOKUP(B167,'Drop Down Master List'!$G$3:$H$88,2,FALSE)</f>
        <v>0</v>
      </c>
      <c r="D167" s="144"/>
      <c r="E167" s="191"/>
      <c r="F167" s="102"/>
      <c r="G167" s="112"/>
      <c r="H167" s="112"/>
      <c r="I167" s="112"/>
      <c r="J167" s="112"/>
      <c r="K167" s="112"/>
      <c r="L167" s="112"/>
      <c r="AD167" s="112"/>
    </row>
    <row r="168" spans="2:30" x14ac:dyDescent="0.25">
      <c r="B168" s="190" t="s">
        <v>86</v>
      </c>
      <c r="C168" s="169">
        <f>VLOOKUP(B168,'Drop Down Master List'!$G$3:$H$88,2,FALSE)</f>
        <v>0</v>
      </c>
      <c r="D168" s="144"/>
      <c r="E168" s="191"/>
      <c r="F168" s="102"/>
      <c r="G168" s="112"/>
      <c r="H168" s="112"/>
      <c r="I168" s="112"/>
      <c r="J168" s="112"/>
      <c r="K168" s="112"/>
      <c r="L168" s="112"/>
      <c r="AD168" s="112"/>
    </row>
    <row r="169" spans="2:30" x14ac:dyDescent="0.25">
      <c r="B169" s="190" t="s">
        <v>86</v>
      </c>
      <c r="C169" s="169">
        <f>VLOOKUP(B169,'Drop Down Master List'!$G$3:$H$88,2,FALSE)</f>
        <v>0</v>
      </c>
      <c r="D169" s="144"/>
      <c r="E169" s="191"/>
      <c r="F169" s="102"/>
      <c r="G169" s="112"/>
      <c r="H169" s="112"/>
      <c r="I169" s="112"/>
      <c r="J169" s="112"/>
      <c r="K169" s="112"/>
      <c r="L169" s="112"/>
      <c r="AD169" s="112"/>
    </row>
    <row r="170" spans="2:30" x14ac:dyDescent="0.25">
      <c r="B170" s="190" t="s">
        <v>86</v>
      </c>
      <c r="C170" s="169">
        <f>VLOOKUP(B170,'Drop Down Master List'!$G$3:$H$88,2,FALSE)</f>
        <v>0</v>
      </c>
      <c r="D170" s="144"/>
      <c r="E170" s="191"/>
      <c r="F170" s="102"/>
      <c r="G170" s="112"/>
      <c r="H170" s="112"/>
      <c r="I170" s="112"/>
      <c r="J170" s="112"/>
      <c r="K170" s="112"/>
      <c r="L170" s="112"/>
      <c r="AD170" s="112"/>
    </row>
    <row r="171" spans="2:30" x14ac:dyDescent="0.25">
      <c r="B171" s="190" t="s">
        <v>86</v>
      </c>
      <c r="C171" s="169">
        <f>VLOOKUP(B171,'Drop Down Master List'!$G$3:$H$88,2,FALSE)</f>
        <v>0</v>
      </c>
      <c r="D171" s="144"/>
      <c r="E171" s="191"/>
      <c r="F171" s="102"/>
      <c r="G171" s="112"/>
      <c r="H171" s="112"/>
      <c r="I171" s="112"/>
      <c r="J171" s="112"/>
      <c r="K171" s="112"/>
      <c r="L171" s="112"/>
      <c r="AD171" s="112"/>
    </row>
    <row r="172" spans="2:30" x14ac:dyDescent="0.25">
      <c r="B172" s="190" t="s">
        <v>86</v>
      </c>
      <c r="C172" s="169">
        <f>VLOOKUP(B172,'Drop Down Master List'!$G$3:$H$88,2,FALSE)</f>
        <v>0</v>
      </c>
      <c r="D172" s="144"/>
      <c r="E172" s="191"/>
      <c r="F172" s="102"/>
      <c r="G172" s="112"/>
      <c r="H172" s="112"/>
      <c r="I172" s="112"/>
      <c r="J172" s="112"/>
      <c r="K172" s="112"/>
      <c r="L172" s="112"/>
      <c r="AD172" s="112"/>
    </row>
    <row r="173" spans="2:30" x14ac:dyDescent="0.25">
      <c r="B173" s="190" t="s">
        <v>86</v>
      </c>
      <c r="C173" s="169">
        <f>VLOOKUP(B173,'Drop Down Master List'!$G$3:$H$88,2,FALSE)</f>
        <v>0</v>
      </c>
      <c r="D173" s="144"/>
      <c r="E173" s="191"/>
      <c r="F173" s="102"/>
      <c r="G173" s="112"/>
      <c r="H173" s="112"/>
      <c r="I173" s="112"/>
      <c r="J173" s="112"/>
      <c r="K173" s="112"/>
      <c r="L173" s="112"/>
      <c r="AD173" s="112"/>
    </row>
    <row r="174" spans="2:30" x14ac:dyDescent="0.25">
      <c r="E174" s="112"/>
      <c r="F174" s="112"/>
      <c r="G174" s="112"/>
      <c r="H174" s="112"/>
      <c r="I174" s="112"/>
      <c r="J174" s="112"/>
      <c r="K174" s="112"/>
      <c r="L174" s="112"/>
    </row>
    <row r="175" spans="2:30" ht="25.9" customHeight="1" x14ac:dyDescent="0.25">
      <c r="B175" s="445" t="s">
        <v>437</v>
      </c>
      <c r="C175" s="445"/>
      <c r="D175" s="445"/>
      <c r="E175" s="445"/>
      <c r="F175" s="445"/>
      <c r="G175" s="147"/>
      <c r="H175" s="147"/>
      <c r="I175" s="147"/>
      <c r="J175" s="147"/>
      <c r="K175" s="147"/>
      <c r="L175" s="147"/>
    </row>
    <row r="176" spans="2:30" s="158" customFormat="1" ht="15.75" thickBot="1" x14ac:dyDescent="0.3">
      <c r="B176" s="147"/>
      <c r="C176" s="147"/>
      <c r="D176" s="147"/>
      <c r="E176" s="147"/>
      <c r="F176" s="147"/>
      <c r="G176" s="147"/>
      <c r="H176" s="147"/>
      <c r="I176" s="147"/>
      <c r="J176" s="147"/>
      <c r="K176" s="147"/>
      <c r="L176" s="147"/>
    </row>
    <row r="177" spans="1:29" s="158" customFormat="1" ht="28.9" customHeight="1" thickBot="1" x14ac:dyDescent="0.3">
      <c r="A177" s="112"/>
      <c r="B177" s="149" t="s">
        <v>97</v>
      </c>
      <c r="C177" s="150" t="s">
        <v>477</v>
      </c>
      <c r="D177" s="141" t="s">
        <v>209</v>
      </c>
      <c r="E177" s="192" t="s">
        <v>479</v>
      </c>
      <c r="F177" s="193" t="s">
        <v>478</v>
      </c>
      <c r="G177" s="194"/>
      <c r="H177" s="174"/>
      <c r="I177" s="174"/>
      <c r="J177" s="174"/>
      <c r="K177" s="174"/>
      <c r="L177" s="174"/>
      <c r="M177" s="112"/>
      <c r="N177" s="112"/>
      <c r="O177" s="112"/>
      <c r="P177" s="112"/>
      <c r="Q177" s="112"/>
      <c r="R177" s="112"/>
      <c r="S177" s="112"/>
      <c r="T177" s="112"/>
      <c r="U177" s="112"/>
      <c r="V177" s="112"/>
      <c r="W177" s="112"/>
      <c r="X177" s="112"/>
      <c r="Y177" s="112"/>
      <c r="Z177" s="112"/>
      <c r="AA177" s="112"/>
      <c r="AB177" s="112"/>
      <c r="AC177" s="112"/>
    </row>
    <row r="178" spans="1:29" x14ac:dyDescent="0.25">
      <c r="B178" s="195" t="s">
        <v>42</v>
      </c>
      <c r="C178" s="196">
        <v>150</v>
      </c>
      <c r="D178" s="197">
        <v>5</v>
      </c>
      <c r="E178" s="198">
        <v>1</v>
      </c>
      <c r="F178" s="103">
        <f>(C178/D178)*E178</f>
        <v>30</v>
      </c>
      <c r="G178" s="112"/>
      <c r="H178" s="112"/>
      <c r="I178" s="112"/>
      <c r="J178" s="112"/>
      <c r="K178" s="112"/>
      <c r="L178" s="112"/>
    </row>
    <row r="179" spans="1:29" x14ac:dyDescent="0.25">
      <c r="B179" s="178" t="s">
        <v>43</v>
      </c>
      <c r="C179" s="199">
        <v>10000</v>
      </c>
      <c r="D179" s="200">
        <v>5</v>
      </c>
      <c r="E179" s="201">
        <v>0.4</v>
      </c>
      <c r="F179" s="104">
        <f>(C179/D179)*E179</f>
        <v>800</v>
      </c>
      <c r="G179" s="112"/>
      <c r="H179" s="112"/>
      <c r="I179" s="112"/>
      <c r="J179" s="112"/>
      <c r="K179" s="112"/>
      <c r="L179" s="112"/>
    </row>
    <row r="180" spans="1:29" x14ac:dyDescent="0.25">
      <c r="B180" s="178" t="s">
        <v>44</v>
      </c>
      <c r="C180" s="199">
        <v>8100</v>
      </c>
      <c r="D180" s="200">
        <v>5</v>
      </c>
      <c r="E180" s="201">
        <v>0.6</v>
      </c>
      <c r="F180" s="104">
        <f t="shared" ref="F180:F202" si="17">(C180/D180)*E180</f>
        <v>972</v>
      </c>
      <c r="G180" s="112"/>
      <c r="H180" s="112"/>
      <c r="I180" s="112"/>
      <c r="J180" s="112"/>
      <c r="K180" s="112"/>
      <c r="L180" s="112"/>
    </row>
    <row r="181" spans="1:29" x14ac:dyDescent="0.25">
      <c r="B181" s="171" t="s">
        <v>45</v>
      </c>
      <c r="C181" s="199">
        <v>400</v>
      </c>
      <c r="D181" s="200">
        <v>5</v>
      </c>
      <c r="E181" s="201">
        <v>0.5</v>
      </c>
      <c r="F181" s="104">
        <f t="shared" si="17"/>
        <v>40</v>
      </c>
      <c r="G181" s="112"/>
      <c r="H181" s="112"/>
      <c r="I181" s="112"/>
      <c r="J181" s="112"/>
      <c r="K181" s="112"/>
      <c r="L181" s="112"/>
    </row>
    <row r="182" spans="1:29" x14ac:dyDescent="0.25">
      <c r="B182" s="179" t="s">
        <v>46</v>
      </c>
      <c r="C182" s="199">
        <v>4200</v>
      </c>
      <c r="D182" s="200">
        <v>5</v>
      </c>
      <c r="E182" s="201">
        <v>0.5</v>
      </c>
      <c r="F182" s="104">
        <f t="shared" si="17"/>
        <v>420</v>
      </c>
      <c r="G182" s="112"/>
      <c r="H182" s="112"/>
      <c r="I182" s="112"/>
      <c r="J182" s="112"/>
      <c r="K182" s="112"/>
      <c r="L182" s="112"/>
    </row>
    <row r="183" spans="1:29" x14ac:dyDescent="0.25">
      <c r="B183" s="171" t="s">
        <v>47</v>
      </c>
      <c r="C183" s="199">
        <v>564</v>
      </c>
      <c r="D183" s="200">
        <v>5</v>
      </c>
      <c r="E183" s="201">
        <v>0.5</v>
      </c>
      <c r="F183" s="104">
        <f t="shared" si="17"/>
        <v>56.4</v>
      </c>
      <c r="G183" s="112"/>
      <c r="H183" s="112"/>
      <c r="I183" s="112"/>
      <c r="J183" s="112"/>
      <c r="K183" s="112"/>
      <c r="L183" s="112"/>
    </row>
    <row r="184" spans="1:29" x14ac:dyDescent="0.25">
      <c r="B184" s="171" t="s">
        <v>48</v>
      </c>
      <c r="C184" s="199">
        <v>8164</v>
      </c>
      <c r="D184" s="200">
        <v>5</v>
      </c>
      <c r="E184" s="201">
        <v>0.5</v>
      </c>
      <c r="F184" s="104">
        <f t="shared" si="17"/>
        <v>816.4</v>
      </c>
      <c r="G184" s="112"/>
      <c r="H184" s="112"/>
      <c r="I184" s="112"/>
      <c r="J184" s="112"/>
      <c r="K184" s="112"/>
      <c r="L184" s="112"/>
    </row>
    <row r="185" spans="1:29" x14ac:dyDescent="0.25">
      <c r="B185" s="171" t="s">
        <v>49</v>
      </c>
      <c r="C185" s="199">
        <v>4000</v>
      </c>
      <c r="D185" s="200">
        <v>5</v>
      </c>
      <c r="E185" s="201">
        <v>0.25</v>
      </c>
      <c r="F185" s="104">
        <f t="shared" si="17"/>
        <v>200</v>
      </c>
      <c r="G185" s="112"/>
      <c r="H185" s="112"/>
      <c r="I185" s="112"/>
      <c r="J185" s="112"/>
      <c r="K185" s="112"/>
      <c r="L185" s="112"/>
    </row>
    <row r="186" spans="1:29" x14ac:dyDescent="0.25">
      <c r="B186" s="171" t="s">
        <v>50</v>
      </c>
      <c r="C186" s="199">
        <v>7522</v>
      </c>
      <c r="D186" s="200">
        <v>5</v>
      </c>
      <c r="E186" s="201">
        <v>0.25</v>
      </c>
      <c r="F186" s="104">
        <f t="shared" si="17"/>
        <v>376.1</v>
      </c>
      <c r="G186" s="112"/>
      <c r="H186" s="112"/>
      <c r="I186" s="112"/>
      <c r="J186" s="112"/>
      <c r="K186" s="112"/>
      <c r="L186" s="112"/>
    </row>
    <row r="187" spans="1:29" x14ac:dyDescent="0.25">
      <c r="B187" s="184" t="s">
        <v>51</v>
      </c>
      <c r="C187" s="199">
        <v>10235</v>
      </c>
      <c r="D187" s="200">
        <v>5</v>
      </c>
      <c r="E187" s="201">
        <v>0.1</v>
      </c>
      <c r="F187" s="104">
        <f t="shared" si="17"/>
        <v>204.70000000000002</v>
      </c>
      <c r="G187" s="112"/>
      <c r="H187" s="112"/>
      <c r="I187" s="112"/>
      <c r="J187" s="112"/>
      <c r="K187" s="112"/>
      <c r="L187" s="112"/>
    </row>
    <row r="188" spans="1:29" x14ac:dyDescent="0.25">
      <c r="B188" s="184" t="s">
        <v>52</v>
      </c>
      <c r="C188" s="199">
        <v>1200</v>
      </c>
      <c r="D188" s="200">
        <v>5</v>
      </c>
      <c r="E188" s="201">
        <v>0.25</v>
      </c>
      <c r="F188" s="104">
        <f t="shared" si="17"/>
        <v>60</v>
      </c>
      <c r="G188" s="112"/>
      <c r="H188" s="112"/>
      <c r="I188" s="112"/>
      <c r="J188" s="112"/>
      <c r="K188" s="112"/>
      <c r="L188" s="112"/>
    </row>
    <row r="189" spans="1:29" x14ac:dyDescent="0.25">
      <c r="B189" s="184" t="s">
        <v>53</v>
      </c>
      <c r="C189" s="199">
        <v>1000</v>
      </c>
      <c r="D189" s="200">
        <v>5</v>
      </c>
      <c r="E189" s="201">
        <v>1</v>
      </c>
      <c r="F189" s="104">
        <f t="shared" si="17"/>
        <v>200</v>
      </c>
      <c r="G189" s="112"/>
      <c r="H189" s="112"/>
      <c r="I189" s="112"/>
      <c r="J189" s="112"/>
      <c r="K189" s="112"/>
      <c r="L189" s="112"/>
    </row>
    <row r="190" spans="1:29" x14ac:dyDescent="0.25">
      <c r="B190" s="185" t="s">
        <v>56</v>
      </c>
      <c r="C190" s="202">
        <v>500</v>
      </c>
      <c r="D190" s="200">
        <v>5</v>
      </c>
      <c r="E190" s="201">
        <v>0.6</v>
      </c>
      <c r="F190" s="104">
        <f t="shared" si="17"/>
        <v>60</v>
      </c>
      <c r="G190" s="112"/>
      <c r="H190" s="112"/>
      <c r="I190" s="112"/>
      <c r="J190" s="112"/>
      <c r="K190" s="112"/>
      <c r="L190" s="112"/>
    </row>
    <row r="191" spans="1:29" x14ac:dyDescent="0.25">
      <c r="B191" s="185" t="s">
        <v>57</v>
      </c>
      <c r="C191" s="203">
        <v>420</v>
      </c>
      <c r="D191" s="200">
        <v>5</v>
      </c>
      <c r="E191" s="201">
        <v>0.6</v>
      </c>
      <c r="F191" s="104">
        <f t="shared" si="17"/>
        <v>50.4</v>
      </c>
      <c r="G191" s="112"/>
      <c r="H191" s="112"/>
      <c r="I191" s="112"/>
      <c r="J191" s="112"/>
      <c r="K191" s="112"/>
      <c r="L191" s="112"/>
    </row>
    <row r="192" spans="1:29" x14ac:dyDescent="0.25">
      <c r="B192" s="185" t="s">
        <v>58</v>
      </c>
      <c r="C192" s="203">
        <v>100</v>
      </c>
      <c r="D192" s="200">
        <v>5</v>
      </c>
      <c r="E192" s="201">
        <v>0.6</v>
      </c>
      <c r="F192" s="104">
        <f t="shared" si="17"/>
        <v>12</v>
      </c>
      <c r="G192" s="112"/>
      <c r="H192" s="112"/>
      <c r="I192" s="112"/>
      <c r="J192" s="112"/>
      <c r="K192" s="112"/>
      <c r="L192" s="112"/>
    </row>
    <row r="193" spans="2:12" x14ac:dyDescent="0.25">
      <c r="B193" s="185" t="s">
        <v>59</v>
      </c>
      <c r="C193" s="202">
        <v>145</v>
      </c>
      <c r="D193" s="200">
        <v>5</v>
      </c>
      <c r="E193" s="201">
        <v>1</v>
      </c>
      <c r="F193" s="104">
        <f t="shared" si="17"/>
        <v>29</v>
      </c>
      <c r="G193" s="112"/>
      <c r="H193" s="112"/>
      <c r="I193" s="112"/>
      <c r="J193" s="112"/>
      <c r="K193" s="112"/>
      <c r="L193" s="112"/>
    </row>
    <row r="194" spans="2:12" x14ac:dyDescent="0.25">
      <c r="B194" s="185" t="s">
        <v>60</v>
      </c>
      <c r="C194" s="202">
        <v>30</v>
      </c>
      <c r="D194" s="200">
        <v>5</v>
      </c>
      <c r="E194" s="201">
        <v>1</v>
      </c>
      <c r="F194" s="104">
        <f t="shared" si="17"/>
        <v>6</v>
      </c>
      <c r="G194" s="112"/>
      <c r="H194" s="112"/>
      <c r="I194" s="112"/>
      <c r="J194" s="112"/>
      <c r="K194" s="112"/>
      <c r="L194" s="112"/>
    </row>
    <row r="195" spans="2:12" x14ac:dyDescent="0.25">
      <c r="B195" s="185" t="s">
        <v>61</v>
      </c>
      <c r="C195" s="202">
        <v>1000</v>
      </c>
      <c r="D195" s="200">
        <v>5</v>
      </c>
      <c r="E195" s="201">
        <v>0.25</v>
      </c>
      <c r="F195" s="104">
        <f t="shared" si="17"/>
        <v>50</v>
      </c>
      <c r="G195" s="112"/>
      <c r="H195" s="112"/>
      <c r="I195" s="112"/>
      <c r="J195" s="112"/>
      <c r="K195" s="112"/>
      <c r="L195" s="112"/>
    </row>
    <row r="196" spans="2:12" x14ac:dyDescent="0.25">
      <c r="B196" s="185" t="s">
        <v>62</v>
      </c>
      <c r="C196" s="202">
        <v>35</v>
      </c>
      <c r="D196" s="200">
        <v>5</v>
      </c>
      <c r="E196" s="201">
        <v>0.5</v>
      </c>
      <c r="F196" s="104">
        <f t="shared" si="17"/>
        <v>3.5</v>
      </c>
      <c r="G196" s="112"/>
      <c r="H196" s="112"/>
      <c r="I196" s="112"/>
      <c r="J196" s="112"/>
      <c r="K196" s="112"/>
      <c r="L196" s="112"/>
    </row>
    <row r="197" spans="2:12" x14ac:dyDescent="0.25">
      <c r="B197" s="185" t="s">
        <v>63</v>
      </c>
      <c r="C197" s="202">
        <v>50</v>
      </c>
      <c r="D197" s="200">
        <v>5</v>
      </c>
      <c r="E197" s="201">
        <v>0.5</v>
      </c>
      <c r="F197" s="104">
        <f t="shared" si="17"/>
        <v>5</v>
      </c>
      <c r="G197" s="112"/>
      <c r="H197" s="112"/>
      <c r="I197" s="112"/>
      <c r="J197" s="112"/>
      <c r="K197" s="112"/>
      <c r="L197" s="112"/>
    </row>
    <row r="198" spans="2:12" x14ac:dyDescent="0.25">
      <c r="B198" s="185" t="s">
        <v>64</v>
      </c>
      <c r="C198" s="202">
        <v>350</v>
      </c>
      <c r="D198" s="200">
        <v>5</v>
      </c>
      <c r="E198" s="201">
        <v>0.6</v>
      </c>
      <c r="F198" s="104">
        <f t="shared" si="17"/>
        <v>42</v>
      </c>
      <c r="G198" s="112"/>
      <c r="H198" s="112"/>
      <c r="I198" s="112"/>
      <c r="J198" s="112"/>
      <c r="K198" s="112"/>
      <c r="L198" s="112"/>
    </row>
    <row r="199" spans="2:12" x14ac:dyDescent="0.25">
      <c r="B199" s="185" t="s">
        <v>65</v>
      </c>
      <c r="C199" s="202">
        <v>1500</v>
      </c>
      <c r="D199" s="200">
        <v>5</v>
      </c>
      <c r="E199" s="201">
        <v>0.6</v>
      </c>
      <c r="F199" s="104">
        <f t="shared" si="17"/>
        <v>180</v>
      </c>
      <c r="G199" s="112"/>
      <c r="H199" s="112"/>
      <c r="I199" s="112"/>
      <c r="J199" s="112"/>
      <c r="K199" s="112"/>
      <c r="L199" s="112"/>
    </row>
    <row r="200" spans="2:12" x14ac:dyDescent="0.25">
      <c r="B200" s="185" t="s">
        <v>66</v>
      </c>
      <c r="C200" s="202">
        <v>1200</v>
      </c>
      <c r="D200" s="200">
        <v>5</v>
      </c>
      <c r="E200" s="201">
        <v>1</v>
      </c>
      <c r="F200" s="104">
        <f t="shared" si="17"/>
        <v>240</v>
      </c>
      <c r="G200" s="112"/>
      <c r="H200" s="112"/>
      <c r="I200" s="112"/>
      <c r="J200" s="112"/>
      <c r="K200" s="112"/>
      <c r="L200" s="112"/>
    </row>
    <row r="201" spans="2:12" x14ac:dyDescent="0.25">
      <c r="B201" s="183" t="s">
        <v>67</v>
      </c>
      <c r="C201" s="204">
        <v>400</v>
      </c>
      <c r="D201" s="200">
        <v>5</v>
      </c>
      <c r="E201" s="201">
        <v>0.5</v>
      </c>
      <c r="F201" s="104">
        <f t="shared" si="17"/>
        <v>40</v>
      </c>
      <c r="G201" s="112"/>
      <c r="H201" s="112"/>
      <c r="I201" s="112"/>
      <c r="J201" s="112"/>
      <c r="K201" s="112"/>
      <c r="L201" s="112"/>
    </row>
    <row r="202" spans="2:12" x14ac:dyDescent="0.25">
      <c r="B202" s="144" t="s">
        <v>68</v>
      </c>
      <c r="C202" s="204">
        <v>6</v>
      </c>
      <c r="D202" s="205">
        <v>5</v>
      </c>
      <c r="E202" s="201">
        <v>1</v>
      </c>
      <c r="F202" s="104">
        <f t="shared" si="17"/>
        <v>1.2</v>
      </c>
      <c r="G202" s="147"/>
      <c r="H202" s="147"/>
      <c r="I202" s="147"/>
      <c r="J202" s="147"/>
      <c r="K202" s="147"/>
      <c r="L202" s="147"/>
    </row>
    <row r="203" spans="2:12" x14ac:dyDescent="0.25">
      <c r="B203" s="144" t="s">
        <v>86</v>
      </c>
      <c r="C203" s="204"/>
      <c r="D203" s="205"/>
      <c r="E203" s="206"/>
      <c r="F203" s="104" t="str">
        <f>IFERROR((C203/D203)*E203,"")</f>
        <v/>
      </c>
      <c r="G203" s="147"/>
      <c r="H203" s="147"/>
      <c r="I203" s="147"/>
      <c r="J203" s="147"/>
      <c r="K203" s="147"/>
      <c r="L203" s="147"/>
    </row>
    <row r="204" spans="2:12" x14ac:dyDescent="0.25">
      <c r="B204" s="144" t="s">
        <v>86</v>
      </c>
      <c r="C204" s="204"/>
      <c r="D204" s="205"/>
      <c r="E204" s="206"/>
      <c r="F204" s="104" t="str">
        <f t="shared" ref="F204:F206" si="18">IFERROR((C204/D204)*E204,"")</f>
        <v/>
      </c>
      <c r="G204" s="147"/>
      <c r="H204" s="147"/>
      <c r="I204" s="147"/>
      <c r="J204" s="147"/>
      <c r="K204" s="147"/>
      <c r="L204" s="147"/>
    </row>
    <row r="205" spans="2:12" x14ac:dyDescent="0.25">
      <c r="B205" s="144" t="s">
        <v>86</v>
      </c>
      <c r="C205" s="204"/>
      <c r="D205" s="205"/>
      <c r="E205" s="206"/>
      <c r="F205" s="104" t="str">
        <f t="shared" si="18"/>
        <v/>
      </c>
      <c r="G205" s="147"/>
      <c r="H205" s="147"/>
      <c r="I205" s="147"/>
      <c r="J205" s="147"/>
      <c r="K205" s="147"/>
      <c r="L205" s="147"/>
    </row>
    <row r="206" spans="2:12" x14ac:dyDescent="0.25">
      <c r="B206" s="144" t="s">
        <v>86</v>
      </c>
      <c r="C206" s="204"/>
      <c r="D206" s="205"/>
      <c r="E206" s="206"/>
      <c r="F206" s="104" t="str">
        <f t="shared" si="18"/>
        <v/>
      </c>
      <c r="G206" s="147"/>
      <c r="H206" s="147"/>
      <c r="I206" s="147"/>
      <c r="J206" s="147"/>
      <c r="K206" s="147"/>
      <c r="L206" s="147"/>
    </row>
    <row r="207" spans="2:12" s="158" customFormat="1" x14ac:dyDescent="0.25">
      <c r="B207" s="207" t="s">
        <v>233</v>
      </c>
      <c r="C207" s="208"/>
      <c r="D207" s="209"/>
      <c r="E207" s="147"/>
      <c r="F207" s="147"/>
      <c r="G207" s="147"/>
      <c r="H207" s="147"/>
      <c r="I207" s="147"/>
      <c r="J207" s="147"/>
      <c r="K207" s="147"/>
      <c r="L207" s="147"/>
    </row>
    <row r="208" spans="2:12" s="158" customFormat="1" x14ac:dyDescent="0.25">
      <c r="B208" s="207"/>
      <c r="C208" s="208"/>
      <c r="D208" s="209"/>
      <c r="E208" s="147"/>
      <c r="F208" s="147"/>
      <c r="G208" s="147"/>
      <c r="H208" s="147"/>
      <c r="I208" s="147"/>
      <c r="J208" s="147"/>
      <c r="K208" s="147"/>
      <c r="L208" s="147"/>
    </row>
    <row r="209" spans="2:12" x14ac:dyDescent="0.25">
      <c r="B209" s="210" t="s">
        <v>347</v>
      </c>
      <c r="C209" s="119"/>
      <c r="D209" s="119"/>
      <c r="E209" s="112"/>
      <c r="F209" s="112"/>
      <c r="G209" s="112"/>
      <c r="H209" s="147"/>
      <c r="I209" s="147"/>
      <c r="J209" s="147"/>
      <c r="K209" s="147"/>
      <c r="L209" s="147"/>
    </row>
    <row r="210" spans="2:12" s="112" customFormat="1" x14ac:dyDescent="0.25">
      <c r="B210" s="120" t="s">
        <v>450</v>
      </c>
    </row>
    <row r="211" spans="2:12" s="112" customFormat="1" x14ac:dyDescent="0.25">
      <c r="B211" s="112" t="s">
        <v>453</v>
      </c>
    </row>
    <row r="212" spans="2:12" s="112" customFormat="1" x14ac:dyDescent="0.25"/>
    <row r="213" spans="2:12" s="112" customFormat="1" x14ac:dyDescent="0.25"/>
    <row r="214" spans="2:12" s="112" customFormat="1" x14ac:dyDescent="0.25"/>
    <row r="215" spans="2:12" s="112" customFormat="1" x14ac:dyDescent="0.25"/>
    <row r="216" spans="2:12" s="112" customFormat="1" x14ac:dyDescent="0.25"/>
    <row r="217" spans="2:12" s="112" customFormat="1" x14ac:dyDescent="0.25"/>
    <row r="218" spans="2:12" s="112" customFormat="1" x14ac:dyDescent="0.25"/>
    <row r="219" spans="2:12" s="112" customFormat="1" x14ac:dyDescent="0.25"/>
    <row r="220" spans="2:12" s="112" customFormat="1" x14ac:dyDescent="0.25"/>
    <row r="221" spans="2:12" s="112" customFormat="1" x14ac:dyDescent="0.25"/>
    <row r="222" spans="2:12" s="112" customFormat="1" x14ac:dyDescent="0.25"/>
    <row r="223" spans="2:12" s="112" customFormat="1" x14ac:dyDescent="0.25"/>
    <row r="224" spans="2:12" x14ac:dyDescent="0.25">
      <c r="B224" s="112"/>
      <c r="C224" s="112"/>
      <c r="D224" s="112"/>
    </row>
  </sheetData>
  <sheetProtection password="C441" sheet="1" objects="1" scenarios="1"/>
  <protectedRanges>
    <protectedRange sqref="B16:D19" name="Range1"/>
  </protectedRanges>
  <mergeCells count="3">
    <mergeCell ref="B22:H22"/>
    <mergeCell ref="B69:F69"/>
    <mergeCell ref="B175:F175"/>
  </mergeCells>
  <hyperlinks>
    <hyperlink ref="J1" location="Menu" display="Menu"/>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 Down Master List'!$G$3:$G$88</xm:f>
          </x14:formula1>
          <xm:sqref>B86:B173</xm:sqref>
        </x14:dataValidation>
        <x14:dataValidation type="list" allowBlank="1" showInputMessage="1" showErrorMessage="1">
          <x14:formula1>
            <xm:f>'Drop Down Master List'!$G$91:$G$104</xm:f>
          </x14:formula1>
          <xm:sqref>B72:B83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sheetPr>
  <dimension ref="A1:AX167"/>
  <sheetViews>
    <sheetView showGridLines="0" workbookViewId="0">
      <selection activeCell="F4" sqref="F4"/>
    </sheetView>
  </sheetViews>
  <sheetFormatPr defaultRowHeight="15" x14ac:dyDescent="0.25"/>
  <cols>
    <col min="1" max="1" width="4.7109375" style="113" customWidth="1"/>
    <col min="2" max="2" width="48.42578125" style="120" customWidth="1"/>
    <col min="3" max="12" width="15.7109375" style="120" customWidth="1"/>
    <col min="13" max="13" width="9.85546875" style="120" customWidth="1"/>
    <col min="14" max="15" width="10.28515625" style="120" customWidth="1"/>
    <col min="16" max="16" width="9.42578125" style="120" customWidth="1"/>
    <col min="17" max="256" width="9.14062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9.14062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9.14062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9.14062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9.14062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9.14062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9.14062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9.14062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9.14062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9.14062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9.14062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9.14062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9.14062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9.14062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9.14062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9.14062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9.14062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9.14062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9.14062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9.14062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9.14062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9.14062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9.14062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9.14062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9.14062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9.14062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9.14062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9.14062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9.14062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9.14062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9.14062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9.14062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9.14062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9.14062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9.14062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9.14062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9.14062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9.14062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9.14062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9.14062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9.14062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9.14062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9.14062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9.14062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9.14062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9.14062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9.14062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9.14062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9.14062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9.14062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9.14062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9.14062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9.14062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9.14062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9.14062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9.14062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9.14062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9.14062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9.14062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9.14062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9.14062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9.14062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9.14062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9.14062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ht="15.75" thickBot="1" x14ac:dyDescent="0.3">
      <c r="A5" s="119"/>
      <c r="B5" s="110"/>
      <c r="C5" s="211"/>
      <c r="D5" s="211"/>
      <c r="E5" s="212"/>
      <c r="F5" s="111"/>
      <c r="G5" s="111"/>
      <c r="H5" s="111"/>
      <c r="I5" s="111"/>
      <c r="J5" s="119"/>
      <c r="K5" s="119"/>
      <c r="L5" s="119"/>
      <c r="M5" s="119"/>
      <c r="N5" s="119"/>
      <c r="O5" s="119"/>
      <c r="P5" s="119"/>
    </row>
    <row r="6" spans="1:49" s="112" customFormat="1" ht="22.9" customHeight="1" x14ac:dyDescent="0.25">
      <c r="B6" s="460" t="s">
        <v>318</v>
      </c>
      <c r="C6" s="461"/>
      <c r="D6" s="461"/>
      <c r="E6" s="461"/>
      <c r="F6" s="461"/>
      <c r="G6" s="462"/>
      <c r="H6" s="109"/>
      <c r="I6" s="119"/>
      <c r="J6" s="119"/>
      <c r="K6" s="119"/>
      <c r="L6" s="119"/>
      <c r="M6" s="119"/>
      <c r="N6" s="119"/>
      <c r="O6" s="119"/>
    </row>
    <row r="7" spans="1:49" s="112" customFormat="1" ht="18.600000000000001" customHeight="1" x14ac:dyDescent="0.25">
      <c r="B7" s="213" t="s">
        <v>222</v>
      </c>
      <c r="C7" s="214" t="s">
        <v>70</v>
      </c>
      <c r="D7" s="215" t="s">
        <v>223</v>
      </c>
      <c r="E7" s="216" t="s">
        <v>224</v>
      </c>
      <c r="F7" s="217" t="s">
        <v>225</v>
      </c>
      <c r="G7" s="218" t="s">
        <v>321</v>
      </c>
      <c r="H7" s="109"/>
      <c r="I7" s="119"/>
      <c r="J7" s="119"/>
      <c r="K7" s="119"/>
      <c r="L7" s="119"/>
      <c r="M7" s="119"/>
      <c r="N7" s="119"/>
      <c r="O7" s="119"/>
    </row>
    <row r="8" spans="1:49" s="112" customFormat="1" x14ac:dyDescent="0.25">
      <c r="B8" s="219" t="str">
        <f>'Set up'!B18</f>
        <v>Abbott M2000 RealTime</v>
      </c>
      <c r="C8" s="334">
        <f>IFERROR(SUM(C$34:C$48),"")</f>
        <v>1.8508170515501969</v>
      </c>
      <c r="D8" s="334">
        <f>IFERROR(SUM(C$72:C$86),"")</f>
        <v>2.3348387096774195E-2</v>
      </c>
      <c r="E8" s="334">
        <f>IFERROR(SUM(C123:C150),"")</f>
        <v>1.0432414229443858</v>
      </c>
      <c r="F8" s="335">
        <f>IFERROR(SUM(C$156:C$165),"")</f>
        <v>0</v>
      </c>
      <c r="G8" s="336">
        <f>SUM(C8:F8)</f>
        <v>2.9174068615913571</v>
      </c>
      <c r="H8" s="109"/>
      <c r="I8" s="119"/>
      <c r="J8" s="119"/>
      <c r="K8" s="119"/>
      <c r="L8" s="119"/>
      <c r="M8" s="119"/>
      <c r="N8" s="119"/>
      <c r="O8" s="119"/>
    </row>
    <row r="9" spans="1:49" s="112" customFormat="1" x14ac:dyDescent="0.25">
      <c r="B9" s="219" t="str">
        <f>'Set up'!B19</f>
        <v>Abbott M2000 RealTime</v>
      </c>
      <c r="C9" s="334">
        <f>IFERROR(SUM(D$34:D$48),"")</f>
        <v>1.8508170515501969</v>
      </c>
      <c r="D9" s="337">
        <f>IFERROR(SUM(D$72:D$86),"")</f>
        <v>2.3348387096774195E-2</v>
      </c>
      <c r="E9" s="338">
        <f>IFERROR(SUM(D123:D150),"")</f>
        <v>1.0432414229443858</v>
      </c>
      <c r="F9" s="335">
        <f>IFERROR(SUM(D$156:D$165),"")</f>
        <v>0</v>
      </c>
      <c r="G9" s="336">
        <f t="shared" ref="G9:G11" si="0">SUM(C9:F9)</f>
        <v>2.9174068615913571</v>
      </c>
      <c r="H9" s="109"/>
      <c r="I9" s="119"/>
      <c r="J9" s="119"/>
      <c r="K9" s="119"/>
      <c r="L9" s="119"/>
      <c r="M9" s="119"/>
      <c r="N9" s="119"/>
      <c r="O9" s="119"/>
    </row>
    <row r="10" spans="1:49" s="112" customFormat="1" x14ac:dyDescent="0.25">
      <c r="B10" s="219" t="str">
        <f>'Set up'!B20</f>
        <v>Roche COBAS Ampliprep/TaqMan 48</v>
      </c>
      <c r="C10" s="334">
        <f>IFERROR(SUM(E$34:E$48),"")</f>
        <v>1.8508170515501969</v>
      </c>
      <c r="D10" s="338">
        <f>IFERROR(SUM(E$72:E$86),"")</f>
        <v>2.5850000000000001E-2</v>
      </c>
      <c r="E10" s="338">
        <f>IFERROR(SUM(E123:E150),"")</f>
        <v>1.0432414229443858</v>
      </c>
      <c r="F10" s="335">
        <f>IFERROR(SUM(E$156:E$165),"")</f>
        <v>0</v>
      </c>
      <c r="G10" s="336">
        <f t="shared" si="0"/>
        <v>2.9199084744945827</v>
      </c>
      <c r="H10" s="111"/>
      <c r="I10" s="119"/>
      <c r="J10" s="119"/>
      <c r="K10" s="119"/>
      <c r="L10" s="119"/>
      <c r="M10" s="119"/>
      <c r="N10" s="119"/>
      <c r="O10" s="119"/>
    </row>
    <row r="11" spans="1:49" s="112" customFormat="1" x14ac:dyDescent="0.25">
      <c r="B11" s="219" t="str">
        <f>'Set up'!B21</f>
        <v>Roche COBAS Ampliprep/TaqMan 48</v>
      </c>
      <c r="C11" s="339">
        <f>IFERROR(SUM(F$34:F$48),"")</f>
        <v>1.8508170515501969</v>
      </c>
      <c r="D11" s="338">
        <f>IFERROR(SUM(F$72:F$86),"")</f>
        <v>2.5850000000000001E-2</v>
      </c>
      <c r="E11" s="338">
        <f>IFERROR(SUM(F123:F150),"")</f>
        <v>1.0432414229443858</v>
      </c>
      <c r="F11" s="335">
        <f>IFERROR(SUM(F$156:F$165),"")</f>
        <v>0</v>
      </c>
      <c r="G11" s="336">
        <f t="shared" si="0"/>
        <v>2.9199084744945827</v>
      </c>
      <c r="H11" s="111"/>
      <c r="I11" s="119"/>
      <c r="J11" s="119"/>
      <c r="K11" s="119"/>
      <c r="L11" s="119"/>
      <c r="M11" s="119"/>
      <c r="N11" s="119"/>
      <c r="O11" s="119"/>
    </row>
    <row r="12" spans="1:49" s="112" customFormat="1" x14ac:dyDescent="0.25">
      <c r="B12" s="211"/>
      <c r="C12" s="211"/>
      <c r="D12" s="211"/>
      <c r="E12" s="220"/>
      <c r="F12" s="111"/>
      <c r="G12" s="111"/>
      <c r="H12" s="111"/>
      <c r="I12" s="111"/>
      <c r="J12" s="119"/>
      <c r="K12" s="119"/>
      <c r="L12" s="119"/>
      <c r="M12" s="119"/>
      <c r="N12" s="119"/>
      <c r="O12" s="119"/>
      <c r="P12" s="119"/>
    </row>
    <row r="13" spans="1:49" s="112" customFormat="1" ht="20.45" customHeight="1" x14ac:dyDescent="0.25">
      <c r="B13" s="445" t="s">
        <v>72</v>
      </c>
      <c r="C13" s="445"/>
      <c r="D13" s="445"/>
      <c r="E13" s="445"/>
      <c r="F13" s="445"/>
      <c r="G13" s="445"/>
      <c r="H13" s="445"/>
      <c r="I13" s="445"/>
      <c r="J13" s="445"/>
      <c r="K13" s="445"/>
      <c r="L13" s="445"/>
      <c r="M13" s="207"/>
      <c r="N13" s="207"/>
      <c r="O13" s="207"/>
      <c r="P13" s="207"/>
    </row>
    <row r="14" spans="1:49" s="112" customFormat="1" x14ac:dyDescent="0.25">
      <c r="B14" s="211"/>
      <c r="C14" s="211"/>
      <c r="D14" s="211"/>
      <c r="E14" s="220"/>
      <c r="F14" s="111"/>
      <c r="G14" s="111"/>
      <c r="H14" s="111"/>
      <c r="I14" s="111"/>
      <c r="J14" s="119"/>
      <c r="K14" s="119"/>
      <c r="L14" s="119"/>
      <c r="M14" s="119"/>
      <c r="N14" s="119"/>
      <c r="O14" s="119"/>
      <c r="P14" s="119"/>
    </row>
    <row r="15" spans="1:49" s="112" customFormat="1" x14ac:dyDescent="0.25">
      <c r="B15" s="221" t="s">
        <v>226</v>
      </c>
      <c r="C15" s="222"/>
      <c r="D15" s="223"/>
      <c r="E15" s="223"/>
      <c r="H15" s="465"/>
      <c r="I15" s="465"/>
      <c r="J15" s="465"/>
      <c r="K15" s="465"/>
      <c r="L15" s="465"/>
      <c r="M15" s="447"/>
      <c r="N15" s="447"/>
    </row>
    <row r="16" spans="1:49" s="228" customFormat="1" ht="45.6" customHeight="1" x14ac:dyDescent="0.25">
      <c r="A16" s="224"/>
      <c r="B16" s="225" t="s">
        <v>319</v>
      </c>
      <c r="C16" s="226" t="str">
        <f>'Set up'!B18</f>
        <v>Abbott M2000 RealTime</v>
      </c>
      <c r="D16" s="226" t="str">
        <f>'Set up'!B19</f>
        <v>Abbott M2000 RealTime</v>
      </c>
      <c r="E16" s="226" t="str">
        <f>'Set up'!B20</f>
        <v>Roche COBAS Ampliprep/TaqMan 48</v>
      </c>
      <c r="F16" s="226" t="str">
        <f>'Set up'!B21</f>
        <v>Roche COBAS Ampliprep/TaqMan 48</v>
      </c>
      <c r="G16" s="227"/>
      <c r="H16" s="227"/>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row>
    <row r="17" spans="2:46" x14ac:dyDescent="0.25">
      <c r="B17" s="62" t="s">
        <v>13</v>
      </c>
      <c r="C17" s="11">
        <v>10</v>
      </c>
      <c r="D17" s="11">
        <v>10</v>
      </c>
      <c r="E17" s="11">
        <v>10</v>
      </c>
      <c r="F17" s="11">
        <v>10</v>
      </c>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row>
    <row r="18" spans="2:46" x14ac:dyDescent="0.25">
      <c r="B18" s="62" t="s">
        <v>19</v>
      </c>
      <c r="C18" s="11">
        <v>5</v>
      </c>
      <c r="D18" s="11">
        <v>5</v>
      </c>
      <c r="E18" s="11">
        <v>5</v>
      </c>
      <c r="F18" s="11">
        <v>5</v>
      </c>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row>
    <row r="19" spans="2:46" x14ac:dyDescent="0.25">
      <c r="B19" s="62" t="s">
        <v>22</v>
      </c>
      <c r="C19" s="11">
        <v>1</v>
      </c>
      <c r="D19" s="11">
        <v>1</v>
      </c>
      <c r="E19" s="11">
        <v>1</v>
      </c>
      <c r="F19" s="11">
        <v>1</v>
      </c>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row>
    <row r="20" spans="2:46" x14ac:dyDescent="0.25">
      <c r="B20" s="62" t="s">
        <v>17</v>
      </c>
      <c r="C20" s="11">
        <v>2</v>
      </c>
      <c r="D20" s="11">
        <v>2</v>
      </c>
      <c r="E20" s="11">
        <v>2</v>
      </c>
      <c r="F20" s="11">
        <v>2</v>
      </c>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row>
    <row r="21" spans="2:46" x14ac:dyDescent="0.25">
      <c r="B21" s="62" t="s">
        <v>15</v>
      </c>
      <c r="C21" s="11">
        <v>2</v>
      </c>
      <c r="D21" s="11">
        <v>2</v>
      </c>
      <c r="E21" s="11">
        <v>2</v>
      </c>
      <c r="F21" s="11">
        <v>2</v>
      </c>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row>
    <row r="22" spans="2:46" x14ac:dyDescent="0.25">
      <c r="B22" s="62" t="s">
        <v>14</v>
      </c>
      <c r="C22" s="11">
        <v>5</v>
      </c>
      <c r="D22" s="11">
        <v>5</v>
      </c>
      <c r="E22" s="11">
        <v>5</v>
      </c>
      <c r="F22" s="11">
        <v>5</v>
      </c>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row>
    <row r="23" spans="2:46" x14ac:dyDescent="0.25">
      <c r="B23" s="62" t="s">
        <v>100</v>
      </c>
      <c r="C23" s="11"/>
      <c r="D23" s="11"/>
      <c r="E23" s="11"/>
      <c r="F23" s="11"/>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row>
    <row r="24" spans="2:46" x14ac:dyDescent="0.25">
      <c r="B24" s="62" t="s">
        <v>100</v>
      </c>
      <c r="C24" s="11"/>
      <c r="D24" s="11"/>
      <c r="E24" s="11"/>
      <c r="F24" s="11"/>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row>
    <row r="25" spans="2:46" x14ac:dyDescent="0.25">
      <c r="B25" s="62" t="s">
        <v>100</v>
      </c>
      <c r="C25" s="11"/>
      <c r="D25" s="11"/>
      <c r="E25" s="11"/>
      <c r="F25" s="11"/>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row>
    <row r="26" spans="2:46" x14ac:dyDescent="0.25">
      <c r="B26" s="62" t="s">
        <v>100</v>
      </c>
      <c r="C26" s="11"/>
      <c r="D26" s="11"/>
      <c r="E26" s="11"/>
      <c r="F26" s="11"/>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row>
    <row r="27" spans="2:46" x14ac:dyDescent="0.25">
      <c r="B27" s="62" t="s">
        <v>100</v>
      </c>
      <c r="C27" s="11"/>
      <c r="D27" s="11"/>
      <c r="E27" s="11"/>
      <c r="F27" s="11"/>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row>
    <row r="28" spans="2:46" x14ac:dyDescent="0.25">
      <c r="B28" s="62" t="s">
        <v>100</v>
      </c>
      <c r="C28" s="11"/>
      <c r="D28" s="11"/>
      <c r="E28" s="11"/>
      <c r="F28" s="11"/>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row>
    <row r="29" spans="2:46" x14ac:dyDescent="0.25">
      <c r="B29" s="62" t="s">
        <v>100</v>
      </c>
      <c r="C29" s="11"/>
      <c r="D29" s="11"/>
      <c r="E29" s="11"/>
      <c r="F29" s="11"/>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row>
    <row r="30" spans="2:46" x14ac:dyDescent="0.25">
      <c r="B30" s="62" t="s">
        <v>100</v>
      </c>
      <c r="C30" s="11"/>
      <c r="D30" s="11"/>
      <c r="E30" s="11"/>
      <c r="F30" s="11"/>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row>
    <row r="31" spans="2:46" x14ac:dyDescent="0.25">
      <c r="B31" s="62" t="s">
        <v>100</v>
      </c>
      <c r="C31" s="11"/>
      <c r="D31" s="11"/>
      <c r="E31" s="11"/>
      <c r="F31" s="11"/>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row>
    <row r="32" spans="2:46" x14ac:dyDescent="0.25">
      <c r="B32" s="55"/>
      <c r="C32" s="56"/>
      <c r="D32" s="56"/>
      <c r="E32" s="56"/>
      <c r="F32" s="56"/>
      <c r="G32" s="56"/>
      <c r="H32" s="229"/>
      <c r="I32" s="229"/>
      <c r="J32" s="229"/>
      <c r="K32" s="229"/>
      <c r="L32" s="229"/>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row>
    <row r="33" spans="2:46" x14ac:dyDescent="0.25">
      <c r="B33" s="221" t="s">
        <v>506</v>
      </c>
      <c r="C33" s="56"/>
      <c r="D33" s="56"/>
      <c r="E33" s="56"/>
      <c r="F33" s="56"/>
      <c r="G33" s="56"/>
      <c r="H33" s="229"/>
      <c r="I33" s="229"/>
      <c r="J33" s="229"/>
      <c r="K33" s="229"/>
      <c r="L33" s="229"/>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row>
    <row r="34" spans="2:46" x14ac:dyDescent="0.25">
      <c r="B34" s="10" t="str">
        <f t="shared" ref="B34:B43" si="1">B17</f>
        <v>Nurse</v>
      </c>
      <c r="C34" s="343">
        <f>IFERROR((((VLOOKUP(B34,'Unit costs'!$B$25:$I$66,8,FALSE))*C17/60)),"--")</f>
        <v>0.73775426509186348</v>
      </c>
      <c r="D34" s="400">
        <f>IFERROR((((VLOOKUP($B34,'Unit costs'!$B$25:$I$66,8,FALSE))*$D17/60)),"")</f>
        <v>0.73775426509186348</v>
      </c>
      <c r="E34" s="343">
        <f>IFERROR((((VLOOKUP($B34,'Unit costs'!$B$25:$I$66,8,FALSE))*E17/60)),"")</f>
        <v>0.73775426509186348</v>
      </c>
      <c r="F34" s="343">
        <f>IFERROR((((VLOOKUP($B34,'Unit costs'!$B$25:$I$66,8,FALSE))*F17/60)),"")</f>
        <v>0.73775426509186348</v>
      </c>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row>
    <row r="35" spans="2:46" x14ac:dyDescent="0.25">
      <c r="B35" s="10" t="str">
        <f t="shared" si="1"/>
        <v>Phlebotomist</v>
      </c>
      <c r="C35" s="343">
        <f>IFERROR((((VLOOKUP(B35,'Unit costs'!$B$25:$I$66,8,FALSE))*C18/60)),"--")</f>
        <v>0.33900386284722228</v>
      </c>
      <c r="D35" s="400">
        <f>IFERROR((((VLOOKUP($B35,'Unit costs'!$B$25:$I$66,8,FALSE))*$D18/60)),"")</f>
        <v>0.33900386284722228</v>
      </c>
      <c r="E35" s="343">
        <f>IFERROR((((VLOOKUP($B35,'Unit costs'!$B$25:$I$66,8,FALSE))*E18/60)),"")</f>
        <v>0.33900386284722228</v>
      </c>
      <c r="F35" s="343">
        <f>IFERROR((((VLOOKUP($B35,'Unit costs'!$B$25:$I$66,8,FALSE))*F18/60)),"")</f>
        <v>0.33900386284722228</v>
      </c>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row>
    <row r="36" spans="2:46" x14ac:dyDescent="0.25">
      <c r="B36" s="10" t="str">
        <f t="shared" si="1"/>
        <v>Admin Officer</v>
      </c>
      <c r="C36" s="343">
        <f>IFERROR((((VLOOKUP(B36,'Unit costs'!$B$25:$I$66,8,FALSE))*C19/60)),"--")</f>
        <v>6.7800772569444459E-2</v>
      </c>
      <c r="D36" s="400">
        <f>IFERROR((((VLOOKUP($B36,'Unit costs'!$B$25:$I$66,8,FALSE))*$D19/60)),"")</f>
        <v>6.7800772569444459E-2</v>
      </c>
      <c r="E36" s="343">
        <f>IFERROR((((VLOOKUP($B36,'Unit costs'!$B$25:$I$66,8,FALSE))*E19/60)),"")</f>
        <v>6.7800772569444459E-2</v>
      </c>
      <c r="F36" s="343">
        <f>IFERROR((((VLOOKUP($B36,'Unit costs'!$B$25:$I$66,8,FALSE))*F19/60)),"")</f>
        <v>6.7800772569444459E-2</v>
      </c>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row>
    <row r="37" spans="2:46" x14ac:dyDescent="0.25">
      <c r="B37" s="10" t="str">
        <f t="shared" si="1"/>
        <v>Nurse assistant</v>
      </c>
      <c r="C37" s="343">
        <f>IFERROR((((VLOOKUP(B37,'Unit costs'!$B$25:$I$66,8,FALSE))*C20/60)),"--")</f>
        <v>7.9100885416666669E-2</v>
      </c>
      <c r="D37" s="400">
        <f>IFERROR((((VLOOKUP($B37,'Unit costs'!$B$25:$I$66,8,FALSE))*$D20/60)),"")</f>
        <v>7.9100885416666669E-2</v>
      </c>
      <c r="E37" s="343">
        <f>IFERROR((((VLOOKUP($B37,'Unit costs'!$B$25:$I$66,8,FALSE))*E20/60)),"")</f>
        <v>7.9100885416666669E-2</v>
      </c>
      <c r="F37" s="343">
        <f>IFERROR((((VLOOKUP($B37,'Unit costs'!$B$25:$I$66,8,FALSE))*F20/60)),"")</f>
        <v>7.9100885416666669E-2</v>
      </c>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row>
    <row r="38" spans="2:46" x14ac:dyDescent="0.25">
      <c r="B38" s="10" t="str">
        <f t="shared" si="1"/>
        <v>Doctor</v>
      </c>
      <c r="C38" s="343">
        <f>IFERROR((((VLOOKUP(B38,'Unit costs'!$B$25:$I$66,8,FALSE))*C21/60)),"--")</f>
        <v>0.42940505208333335</v>
      </c>
      <c r="D38" s="400">
        <f>IFERROR((((VLOOKUP($B38,'Unit costs'!$B$25:$I$66,8,FALSE))*$D21/60)),"")</f>
        <v>0.42940505208333335</v>
      </c>
      <c r="E38" s="343">
        <f>IFERROR((((VLOOKUP($B38,'Unit costs'!$B$25:$I$66,8,FALSE))*E21/60)),"")</f>
        <v>0.42940505208333335</v>
      </c>
      <c r="F38" s="343">
        <f>IFERROR((((VLOOKUP($B38,'Unit costs'!$B$25:$I$66,8,FALSE))*F21/60)),"")</f>
        <v>0.42940505208333335</v>
      </c>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row>
    <row r="39" spans="2:46" x14ac:dyDescent="0.25">
      <c r="B39" s="10" t="str">
        <f t="shared" si="1"/>
        <v>Counselor</v>
      </c>
      <c r="C39" s="343">
        <f>IFERROR((((VLOOKUP(B39,'Unit costs'!$B$25:$I$66,8,FALSE))*C22/60)),"--")</f>
        <v>0.19775221354166667</v>
      </c>
      <c r="D39" s="400">
        <f>IFERROR((((VLOOKUP($B39,'Unit costs'!$B$25:$I$66,8,FALSE))*$D22/60)),"")</f>
        <v>0.19775221354166667</v>
      </c>
      <c r="E39" s="343">
        <f>IFERROR((((VLOOKUP($B39,'Unit costs'!$B$25:$I$66,8,FALSE))*E22/60)),"")</f>
        <v>0.19775221354166667</v>
      </c>
      <c r="F39" s="343">
        <f>IFERROR((((VLOOKUP($B39,'Unit costs'!$B$25:$I$66,8,FALSE))*F22/60)),"")</f>
        <v>0.19775221354166667</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row>
    <row r="40" spans="2:46" x14ac:dyDescent="0.25">
      <c r="B40" s="10" t="str">
        <f t="shared" si="1"/>
        <v>Other personnel</v>
      </c>
      <c r="C40" s="343">
        <f>IFERROR((((VLOOKUP(B40,'Unit costs'!$B$25:$I$66,8,FALSE))*C23/60)),"--")</f>
        <v>0</v>
      </c>
      <c r="D40" s="400">
        <f>IFERROR((((VLOOKUP($B40,'Unit costs'!$B$25:$I$66,8,FALSE))*$D23/60)),"")</f>
        <v>0</v>
      </c>
      <c r="E40" s="343">
        <f>IFERROR((((VLOOKUP($B40,'Unit costs'!$B$25:$I$66,8,FALSE))*E23/60)),"")</f>
        <v>0</v>
      </c>
      <c r="F40" s="343">
        <f>IFERROR((((VLOOKUP($B40,'Unit costs'!$B$25:$I$66,8,FALSE))*F23/60)),"")</f>
        <v>0</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row>
    <row r="41" spans="2:46" x14ac:dyDescent="0.25">
      <c r="B41" s="10" t="str">
        <f t="shared" si="1"/>
        <v>Other personnel</v>
      </c>
      <c r="C41" s="343">
        <f>IFERROR((((VLOOKUP(B41,'Unit costs'!$B$25:$I$66,8,FALSE))*C24/60)),"--")</f>
        <v>0</v>
      </c>
      <c r="D41" s="400">
        <f>IFERROR((((VLOOKUP($B41,'Unit costs'!$B$25:$I$66,8,FALSE))*$D24/60)),"")</f>
        <v>0</v>
      </c>
      <c r="E41" s="343">
        <f>IFERROR((((VLOOKUP($B41,'Unit costs'!$B$25:$I$66,8,FALSE))*E24/60)),"")</f>
        <v>0</v>
      </c>
      <c r="F41" s="343">
        <f>IFERROR((((VLOOKUP($B41,'Unit costs'!$B$25:$I$66,8,FALSE))*F24/60)),"")</f>
        <v>0</v>
      </c>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row>
    <row r="42" spans="2:46" x14ac:dyDescent="0.25">
      <c r="B42" s="10" t="str">
        <f t="shared" si="1"/>
        <v>Other personnel</v>
      </c>
      <c r="C42" s="343">
        <f>IFERROR((((VLOOKUP(B42,'Unit costs'!$B$25:$I$66,8,FALSE))*C25/60)),"--")</f>
        <v>0</v>
      </c>
      <c r="D42" s="400">
        <f>IFERROR((((VLOOKUP($B42,'Unit costs'!$B$25:$I$66,8,FALSE))*$D25/60)),"")</f>
        <v>0</v>
      </c>
      <c r="E42" s="343">
        <f>IFERROR((((VLOOKUP($B42,'Unit costs'!$B$25:$I$66,8,FALSE))*E25/60)),"")</f>
        <v>0</v>
      </c>
      <c r="F42" s="343">
        <f>IFERROR((((VLOOKUP($B42,'Unit costs'!$B$25:$I$66,8,FALSE))*F25/60)),"")</f>
        <v>0</v>
      </c>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row>
    <row r="43" spans="2:46" x14ac:dyDescent="0.25">
      <c r="B43" s="10" t="str">
        <f t="shared" si="1"/>
        <v>Other personnel</v>
      </c>
      <c r="C43" s="343">
        <f>IFERROR((((VLOOKUP(B43,'Unit costs'!$B$25:$I$66,8,FALSE))*C26/60)),"--")</f>
        <v>0</v>
      </c>
      <c r="D43" s="400">
        <f>IFERROR((((VLOOKUP($B43,'Unit costs'!$B$25:$I$66,8,FALSE))*$D26/60)),"")</f>
        <v>0</v>
      </c>
      <c r="E43" s="343">
        <f>IFERROR((((VLOOKUP($B43,'Unit costs'!$B$25:$I$66,8,FALSE))*E26/60)),"")</f>
        <v>0</v>
      </c>
      <c r="F43" s="343">
        <f>IFERROR((((VLOOKUP($B43,'Unit costs'!$B$25:$I$66,8,FALSE))*F26/60)),"")</f>
        <v>0</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row>
    <row r="44" spans="2:46" x14ac:dyDescent="0.25">
      <c r="B44" s="10" t="str">
        <f t="shared" ref="B44:B48" si="2">B27</f>
        <v>Other personnel</v>
      </c>
      <c r="C44" s="343">
        <f>IFERROR((((VLOOKUP(B44,'Unit costs'!$B$25:$I$66,8,FALSE))*C27/60)),"--")</f>
        <v>0</v>
      </c>
      <c r="D44" s="400">
        <f>IFERROR((((VLOOKUP($B44,'Unit costs'!$B$25:$I$66,8,FALSE))*$D27/60)),"")</f>
        <v>0</v>
      </c>
      <c r="E44" s="343">
        <f>IFERROR((((VLOOKUP($B44,'Unit costs'!$B$25:$I$66,8,FALSE))*E27/60)),"")</f>
        <v>0</v>
      </c>
      <c r="F44" s="343">
        <f>IFERROR((((VLOOKUP($B44,'Unit costs'!$B$25:$I$66,8,FALSE))*F27/60)),"")</f>
        <v>0</v>
      </c>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row>
    <row r="45" spans="2:46" x14ac:dyDescent="0.25">
      <c r="B45" s="10" t="str">
        <f t="shared" si="2"/>
        <v>Other personnel</v>
      </c>
      <c r="C45" s="343">
        <f>IFERROR((((VLOOKUP(B45,'Unit costs'!$B$25:$I$66,8,FALSE))*C28/60)),"--")</f>
        <v>0</v>
      </c>
      <c r="D45" s="400">
        <f>IFERROR((((VLOOKUP($B45,'Unit costs'!$B$25:$I$66,8,FALSE))*$D28/60)),"")</f>
        <v>0</v>
      </c>
      <c r="E45" s="343">
        <f>IFERROR((((VLOOKUP($B45,'Unit costs'!$B$25:$I$66,8,FALSE))*E28/60)),"")</f>
        <v>0</v>
      </c>
      <c r="F45" s="343">
        <f>IFERROR((((VLOOKUP($B45,'Unit costs'!$B$25:$I$66,8,FALSE))*F28/60)),"")</f>
        <v>0</v>
      </c>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row>
    <row r="46" spans="2:46" x14ac:dyDescent="0.25">
      <c r="B46" s="10" t="str">
        <f t="shared" si="2"/>
        <v>Other personnel</v>
      </c>
      <c r="C46" s="343">
        <f>IFERROR((((VLOOKUP(B46,'Unit costs'!$B$25:$I$66,8,FALSE))*C29/60)),"--")</f>
        <v>0</v>
      </c>
      <c r="D46" s="400">
        <f>IFERROR((((VLOOKUP($B46,'Unit costs'!$B$25:$I$66,8,FALSE))*$D29/60)),"")</f>
        <v>0</v>
      </c>
      <c r="E46" s="343">
        <f>IFERROR((((VLOOKUP($B46,'Unit costs'!$B$25:$I$66,8,FALSE))*E29/60)),"")</f>
        <v>0</v>
      </c>
      <c r="F46" s="343">
        <f>IFERROR((((VLOOKUP($B46,'Unit costs'!$B$25:$I$66,8,FALSE))*F29/60)),"")</f>
        <v>0</v>
      </c>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row>
    <row r="47" spans="2:46" x14ac:dyDescent="0.25">
      <c r="B47" s="10" t="str">
        <f t="shared" si="2"/>
        <v>Other personnel</v>
      </c>
      <c r="C47" s="343">
        <f>IFERROR((((VLOOKUP(B47,'Unit costs'!$B$25:$I$66,8,FALSE))*C30/60)),"--")</f>
        <v>0</v>
      </c>
      <c r="D47" s="400">
        <f>IFERROR((((VLOOKUP($B47,'Unit costs'!$B$25:$I$66,8,FALSE))*$D30/60)),"")</f>
        <v>0</v>
      </c>
      <c r="E47" s="343">
        <f>IFERROR((((VLOOKUP($B47,'Unit costs'!$B$25:$I$66,8,FALSE))*E30/60)),"")</f>
        <v>0</v>
      </c>
      <c r="F47" s="343">
        <f>IFERROR((((VLOOKUP($B47,'Unit costs'!$B$25:$I$66,8,FALSE))*F30/60)),"")</f>
        <v>0</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2:46" x14ac:dyDescent="0.25">
      <c r="B48" s="10" t="str">
        <f t="shared" si="2"/>
        <v>Other personnel</v>
      </c>
      <c r="C48" s="343">
        <f>IFERROR((((VLOOKUP(B48,'Unit costs'!$B$25:$I$66,8,FALSE))*C31/60)),"--")</f>
        <v>0</v>
      </c>
      <c r="D48" s="400">
        <f>IFERROR((((VLOOKUP($B48,'Unit costs'!$B$25:$I$66,8,FALSE))*$D31/60)),"")</f>
        <v>0</v>
      </c>
      <c r="E48" s="343">
        <f>IFERROR((((VLOOKUP($B48,'Unit costs'!$B$25:$I$66,8,FALSE))*E31/60)),"")</f>
        <v>0</v>
      </c>
      <c r="F48" s="343">
        <f>IFERROR((((VLOOKUP($B48,'Unit costs'!$B$25:$I$66,8,FALSE))*F31/60)),"")</f>
        <v>0</v>
      </c>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1:50" x14ac:dyDescent="0.25">
      <c r="B49" s="55"/>
      <c r="C49" s="56"/>
      <c r="D49" s="56"/>
      <c r="E49" s="56"/>
      <c r="F49" s="56"/>
      <c r="G49" s="56"/>
      <c r="H49" s="229"/>
      <c r="I49" s="229"/>
      <c r="J49" s="229"/>
      <c r="K49" s="229"/>
      <c r="L49" s="229"/>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row>
    <row r="50" spans="1:50" x14ac:dyDescent="0.25">
      <c r="D50" s="230"/>
      <c r="E50" s="230"/>
      <c r="F50" s="230"/>
      <c r="G50" s="230"/>
      <c r="H50" s="230"/>
      <c r="I50" s="230"/>
      <c r="J50" s="231"/>
      <c r="K50" s="119"/>
      <c r="L50" s="119"/>
      <c r="M50" s="119"/>
      <c r="N50" s="119"/>
      <c r="O50" s="112"/>
      <c r="P50" s="112"/>
      <c r="Q50" s="112"/>
      <c r="R50" s="112"/>
      <c r="S50" s="112"/>
      <c r="T50" s="112"/>
      <c r="U50" s="112"/>
      <c r="V50" s="112"/>
      <c r="W50" s="112"/>
      <c r="X50" s="112"/>
      <c r="Y50" s="112"/>
      <c r="Z50" s="112"/>
      <c r="AA50" s="113"/>
      <c r="AB50" s="113"/>
      <c r="AC50" s="113"/>
      <c r="AD50" s="113"/>
      <c r="AE50" s="113"/>
      <c r="AF50" s="113"/>
      <c r="AG50" s="113"/>
      <c r="AH50" s="113"/>
      <c r="AI50" s="113"/>
      <c r="AJ50" s="113"/>
      <c r="AK50" s="113"/>
      <c r="AL50" s="113"/>
      <c r="AM50" s="113"/>
      <c r="AN50" s="113"/>
      <c r="AO50" s="113"/>
      <c r="AP50" s="113"/>
      <c r="AQ50" s="113"/>
      <c r="AR50" s="113"/>
      <c r="AS50" s="113"/>
      <c r="AT50" s="113"/>
      <c r="AU50" s="113"/>
    </row>
    <row r="51" spans="1:50" ht="22.9" customHeight="1" x14ac:dyDescent="0.25">
      <c r="B51" s="445" t="s">
        <v>73</v>
      </c>
      <c r="C51" s="445"/>
      <c r="D51" s="445"/>
      <c r="E51" s="445"/>
      <c r="F51" s="445"/>
      <c r="G51" s="445"/>
      <c r="H51" s="445"/>
      <c r="I51" s="445"/>
      <c r="J51" s="445"/>
      <c r="K51" s="445"/>
      <c r="L51" s="445"/>
      <c r="M51" s="119"/>
      <c r="N51" s="119"/>
      <c r="O51" s="119"/>
      <c r="P51" s="119"/>
      <c r="Q51" s="112"/>
      <c r="R51" s="112"/>
      <c r="S51" s="112"/>
      <c r="T51" s="112"/>
      <c r="U51" s="112"/>
      <c r="V51" s="112"/>
      <c r="W51" s="112"/>
      <c r="X51" s="112"/>
      <c r="Y51" s="112"/>
      <c r="Z51" s="112"/>
      <c r="AA51" s="112"/>
      <c r="AB51" s="112"/>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row>
    <row r="52" spans="1:50" s="112" customFormat="1" x14ac:dyDescent="0.25">
      <c r="B52" s="120"/>
      <c r="C52" s="120"/>
      <c r="D52" s="230"/>
      <c r="E52" s="230"/>
      <c r="F52" s="230"/>
      <c r="G52" s="230"/>
      <c r="H52" s="230"/>
      <c r="I52" s="230"/>
      <c r="J52" s="231"/>
      <c r="K52" s="231"/>
      <c r="L52" s="231"/>
      <c r="M52" s="158"/>
      <c r="N52" s="158"/>
      <c r="O52" s="158"/>
      <c r="P52" s="158"/>
    </row>
    <row r="53" spans="1:50" ht="15.75" thickBot="1" x14ac:dyDescent="0.3">
      <c r="B53" s="446" t="s">
        <v>485</v>
      </c>
      <c r="C53" s="446"/>
      <c r="D53" s="446"/>
      <c r="E53" s="446"/>
      <c r="F53" s="446"/>
      <c r="G53" s="232"/>
      <c r="H53" s="232"/>
      <c r="I53" s="232"/>
      <c r="J53" s="232"/>
      <c r="K53" s="232"/>
      <c r="L53" s="232"/>
      <c r="M53" s="231"/>
      <c r="N53" s="231"/>
      <c r="O53" s="231"/>
      <c r="P53" s="231"/>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row>
    <row r="54" spans="1:50" ht="45.6" customHeight="1" x14ac:dyDescent="0.25">
      <c r="A54" s="120"/>
      <c r="B54" s="233" t="s">
        <v>452</v>
      </c>
      <c r="C54" s="234" t="str">
        <f>'Set up'!B18</f>
        <v>Abbott M2000 RealTime</v>
      </c>
      <c r="D54" s="234" t="str">
        <f>'Set up'!B19</f>
        <v>Abbott M2000 RealTime</v>
      </c>
      <c r="E54" s="234" t="str">
        <f>'Set up'!B20</f>
        <v>Roche COBAS Ampliprep/TaqMan 48</v>
      </c>
      <c r="F54" s="234" t="str">
        <f>'Set up'!B21</f>
        <v>Roche COBAS Ampliprep/TaqMan 48</v>
      </c>
      <c r="G54" s="231"/>
    </row>
    <row r="55" spans="1:50" ht="12.75" customHeight="1" x14ac:dyDescent="0.25">
      <c r="A55" s="120"/>
      <c r="B55" s="235" t="s">
        <v>53</v>
      </c>
      <c r="C55" s="345">
        <f>'Set up'!$D$18</f>
        <v>46500</v>
      </c>
      <c r="D55" s="345">
        <f>'Set up'!$D$19</f>
        <v>46500</v>
      </c>
      <c r="E55" s="345">
        <f>'Set up'!$D$20</f>
        <v>42000</v>
      </c>
      <c r="F55" s="345">
        <f>'Set up'!$D$21</f>
        <v>42000</v>
      </c>
      <c r="G55" s="231"/>
    </row>
    <row r="56" spans="1:50" x14ac:dyDescent="0.25">
      <c r="A56" s="120"/>
      <c r="B56" s="235" t="s">
        <v>60</v>
      </c>
      <c r="C56" s="345">
        <f>'Set up'!$D$18</f>
        <v>46500</v>
      </c>
      <c r="D56" s="345">
        <f>'Set up'!$D$19</f>
        <v>46500</v>
      </c>
      <c r="E56" s="345">
        <f>'Set up'!$D$20</f>
        <v>42000</v>
      </c>
      <c r="F56" s="345">
        <f>'Set up'!$D$21</f>
        <v>42000</v>
      </c>
      <c r="G56" s="231"/>
    </row>
    <row r="57" spans="1:50" x14ac:dyDescent="0.25">
      <c r="A57" s="120"/>
      <c r="B57" s="235" t="s">
        <v>62</v>
      </c>
      <c r="C57" s="345">
        <f>'Set up'!$D$18</f>
        <v>46500</v>
      </c>
      <c r="D57" s="345">
        <f>'Set up'!$D$19</f>
        <v>46500</v>
      </c>
      <c r="E57" s="345">
        <f>'Set up'!$D$20</f>
        <v>42000</v>
      </c>
      <c r="F57" s="345">
        <f>'Set up'!$D$21</f>
        <v>42000</v>
      </c>
      <c r="G57" s="231"/>
    </row>
    <row r="58" spans="1:50" x14ac:dyDescent="0.25">
      <c r="B58" s="235" t="s">
        <v>63</v>
      </c>
      <c r="C58" s="345">
        <f>'Set up'!$D$18</f>
        <v>46500</v>
      </c>
      <c r="D58" s="345">
        <f>'Set up'!$D$19</f>
        <v>46500</v>
      </c>
      <c r="E58" s="345">
        <f>'Set up'!$D$20</f>
        <v>42000</v>
      </c>
      <c r="F58" s="345">
        <f>'Set up'!$D$21</f>
        <v>42000</v>
      </c>
    </row>
    <row r="59" spans="1:50" x14ac:dyDescent="0.25">
      <c r="B59" s="235" t="s">
        <v>68</v>
      </c>
      <c r="C59" s="345">
        <f>'Set up'!$D$18</f>
        <v>46500</v>
      </c>
      <c r="D59" s="345">
        <f>'Set up'!$D$19</f>
        <v>46500</v>
      </c>
      <c r="E59" s="345">
        <f>'Set up'!$D$20</f>
        <v>42000</v>
      </c>
      <c r="F59" s="345">
        <f>'Set up'!$D$21</f>
        <v>42000</v>
      </c>
    </row>
    <row r="60" spans="1:50" x14ac:dyDescent="0.25">
      <c r="B60" s="235" t="s">
        <v>67</v>
      </c>
      <c r="C60" s="345">
        <f>'Set up'!$D$18</f>
        <v>46500</v>
      </c>
      <c r="D60" s="345">
        <f>'Set up'!$D$19</f>
        <v>46500</v>
      </c>
      <c r="E60" s="345">
        <f>'Set up'!$D$20</f>
        <v>42000</v>
      </c>
      <c r="F60" s="345">
        <f>'Set up'!$D$21</f>
        <v>42000</v>
      </c>
    </row>
    <row r="61" spans="1:50" x14ac:dyDescent="0.25">
      <c r="B61" s="235" t="s">
        <v>42</v>
      </c>
      <c r="C61" s="345">
        <f>'Set up'!$D$18</f>
        <v>46500</v>
      </c>
      <c r="D61" s="345">
        <f>'Set up'!$D$19</f>
        <v>46500</v>
      </c>
      <c r="E61" s="345">
        <f>'Set up'!$D$20</f>
        <v>42000</v>
      </c>
      <c r="F61" s="345">
        <f>'Set up'!$D$21</f>
        <v>42000</v>
      </c>
    </row>
    <row r="62" spans="1:50" x14ac:dyDescent="0.25">
      <c r="B62" s="235" t="s">
        <v>43</v>
      </c>
      <c r="C62" s="345">
        <f>'Set up'!$D$18</f>
        <v>46500</v>
      </c>
      <c r="D62" s="345">
        <f>'Set up'!$D$19</f>
        <v>46500</v>
      </c>
      <c r="E62" s="345">
        <f>'Set up'!$D$20</f>
        <v>42000</v>
      </c>
      <c r="F62" s="345">
        <f>'Set up'!$D$21</f>
        <v>42000</v>
      </c>
    </row>
    <row r="63" spans="1:50" x14ac:dyDescent="0.25">
      <c r="B63" s="235" t="s">
        <v>86</v>
      </c>
      <c r="C63" s="345">
        <f>'Set up'!$D$18</f>
        <v>46500</v>
      </c>
      <c r="D63" s="345">
        <f>'Set up'!$D$19</f>
        <v>46500</v>
      </c>
      <c r="E63" s="345">
        <f>'Set up'!$D$20</f>
        <v>42000</v>
      </c>
      <c r="F63" s="345">
        <f>'Set up'!$D$21</f>
        <v>42000</v>
      </c>
    </row>
    <row r="64" spans="1:50" x14ac:dyDescent="0.25">
      <c r="B64" s="235" t="s">
        <v>86</v>
      </c>
      <c r="C64" s="345">
        <f>'Set up'!$D$18</f>
        <v>46500</v>
      </c>
      <c r="D64" s="345">
        <f>'Set up'!$D$19</f>
        <v>46500</v>
      </c>
      <c r="E64" s="345">
        <f>'Set up'!$D$20</f>
        <v>42000</v>
      </c>
      <c r="F64" s="345">
        <f>'Set up'!$D$21</f>
        <v>42000</v>
      </c>
    </row>
    <row r="65" spans="2:6" x14ac:dyDescent="0.25">
      <c r="B65" s="235" t="s">
        <v>86</v>
      </c>
      <c r="C65" s="345">
        <f>'Set up'!$D$18</f>
        <v>46500</v>
      </c>
      <c r="D65" s="345">
        <f>'Set up'!$D$19</f>
        <v>46500</v>
      </c>
      <c r="E65" s="345">
        <f>'Set up'!$D$20</f>
        <v>42000</v>
      </c>
      <c r="F65" s="345">
        <f>'Set up'!$D$21</f>
        <v>42000</v>
      </c>
    </row>
    <row r="66" spans="2:6" x14ac:dyDescent="0.25">
      <c r="B66" s="235" t="s">
        <v>86</v>
      </c>
      <c r="C66" s="345">
        <f>'Set up'!$D$18</f>
        <v>46500</v>
      </c>
      <c r="D66" s="345">
        <f>'Set up'!$D$19</f>
        <v>46500</v>
      </c>
      <c r="E66" s="345">
        <f>'Set up'!$D$20</f>
        <v>42000</v>
      </c>
      <c r="F66" s="345">
        <f>'Set up'!$D$21</f>
        <v>42000</v>
      </c>
    </row>
    <row r="67" spans="2:6" x14ac:dyDescent="0.25">
      <c r="B67" s="235" t="s">
        <v>86</v>
      </c>
      <c r="C67" s="345">
        <f>'Set up'!$D$18</f>
        <v>46500</v>
      </c>
      <c r="D67" s="345">
        <f>'Set up'!$D$19</f>
        <v>46500</v>
      </c>
      <c r="E67" s="345">
        <f>'Set up'!$D$20</f>
        <v>42000</v>
      </c>
      <c r="F67" s="345">
        <f>'Set up'!$D$21</f>
        <v>42000</v>
      </c>
    </row>
    <row r="68" spans="2:6" x14ac:dyDescent="0.25">
      <c r="B68" s="235" t="s">
        <v>86</v>
      </c>
      <c r="C68" s="345">
        <f>'Set up'!$D$18</f>
        <v>46500</v>
      </c>
      <c r="D68" s="345">
        <f>'Set up'!$D$19</f>
        <v>46500</v>
      </c>
      <c r="E68" s="345">
        <f>'Set up'!$D$20</f>
        <v>42000</v>
      </c>
      <c r="F68" s="345">
        <f>'Set up'!$D$21</f>
        <v>42000</v>
      </c>
    </row>
    <row r="69" spans="2:6" x14ac:dyDescent="0.25">
      <c r="B69" s="235" t="s">
        <v>86</v>
      </c>
      <c r="C69" s="345">
        <f>'Set up'!$D$18</f>
        <v>46500</v>
      </c>
      <c r="D69" s="345">
        <f>'Set up'!$D$19</f>
        <v>46500</v>
      </c>
      <c r="E69" s="345">
        <f>'Set up'!$D$20</f>
        <v>42000</v>
      </c>
      <c r="F69" s="345">
        <f>'Set up'!$D$21</f>
        <v>42000</v>
      </c>
    </row>
    <row r="70" spans="2:6" x14ac:dyDescent="0.25">
      <c r="B70" s="231"/>
      <c r="C70" s="231"/>
      <c r="D70" s="231"/>
      <c r="E70" s="231"/>
      <c r="F70" s="231"/>
    </row>
    <row r="71" spans="2:6" ht="15.75" thickBot="1" x14ac:dyDescent="0.3">
      <c r="B71" s="446" t="s">
        <v>509</v>
      </c>
      <c r="C71" s="446"/>
      <c r="D71" s="446"/>
      <c r="E71" s="446"/>
      <c r="F71" s="446"/>
    </row>
    <row r="72" spans="2:6" x14ac:dyDescent="0.25">
      <c r="B72" s="237" t="str">
        <f>B55</f>
        <v>Bio-safety cabinet</v>
      </c>
      <c r="C72" s="346">
        <f>IFERROR((VLOOKUP($B72,'Unit costs'!$B$178:$F$206,5,FALSE)/$C55),"")</f>
        <v>4.3010752688172043E-3</v>
      </c>
      <c r="D72" s="337">
        <f>IFERROR((VLOOKUP($B72,'Unit costs'!$B$178:$F$206,5,FALSE)/$D55),"")</f>
        <v>4.3010752688172043E-3</v>
      </c>
      <c r="E72" s="346">
        <f>IFERROR((VLOOKUP($B72,'Unit costs'!$B$178:$F$206,5,FALSE)/'Blood sample &amp; packaging'!$E55),"")</f>
        <v>4.7619047619047623E-3</v>
      </c>
      <c r="F72" s="337">
        <f>IFERROR(VLOOKUP($B72,'Unit costs'!$B$178:$F$206,5,FALSE)/'Blood sample &amp; packaging'!$F55,"")</f>
        <v>4.7619047619047623E-3</v>
      </c>
    </row>
    <row r="73" spans="2:6" x14ac:dyDescent="0.25">
      <c r="B73" s="237" t="str">
        <f t="shared" ref="B73:B86" si="3">B56</f>
        <v>File holders</v>
      </c>
      <c r="C73" s="346">
        <f>IFERROR((VLOOKUP($B73,'Unit costs'!$B$178:$F$206,5,FALSE)/$C56),"")</f>
        <v>1.2903225806451613E-4</v>
      </c>
      <c r="D73" s="337">
        <f>IFERROR((VLOOKUP($B73,'Unit costs'!$B$178:$F$206,5,FALSE)/$D56),"")</f>
        <v>1.2903225806451613E-4</v>
      </c>
      <c r="E73" s="346">
        <f>IFERROR((VLOOKUP($B73,'Unit costs'!$B$178:$F$206,5,FALSE)/'Blood sample &amp; packaging'!$E56),"")</f>
        <v>1.4285714285714287E-4</v>
      </c>
      <c r="F73" s="337">
        <f>IFERROR(VLOOKUP($B73,'Unit costs'!$B$178:$F$206,5,FALSE)/'Blood sample &amp; packaging'!$F56,"")</f>
        <v>1.4285714285714287E-4</v>
      </c>
    </row>
    <row r="74" spans="2:6" x14ac:dyDescent="0.25">
      <c r="B74" s="237" t="str">
        <f t="shared" si="3"/>
        <v>Landline Telephones</v>
      </c>
      <c r="C74" s="346">
        <f>IFERROR((VLOOKUP($B74,'Unit costs'!$B$178:$F$206,5,FALSE)/$C57),"")</f>
        <v>7.5268817204301081E-5</v>
      </c>
      <c r="D74" s="337">
        <f>IFERROR((VLOOKUP($B74,'Unit costs'!$B$178:$F$206,5,FALSE)/$D57),"")</f>
        <v>7.5268817204301081E-5</v>
      </c>
      <c r="E74" s="346">
        <f>IFERROR((VLOOKUP($B74,'Unit costs'!$B$178:$F$206,5,FALSE)/'Blood sample &amp; packaging'!$E57),"")</f>
        <v>8.3333333333333331E-5</v>
      </c>
      <c r="F74" s="337">
        <f>IFERROR(VLOOKUP($B74,'Unit costs'!$B$178:$F$206,5,FALSE)/'Blood sample &amp; packaging'!$F57,"")</f>
        <v>8.3333333333333331E-5</v>
      </c>
    </row>
    <row r="75" spans="2:6" x14ac:dyDescent="0.25">
      <c r="B75" s="237" t="str">
        <f t="shared" si="3"/>
        <v>Mobile phones</v>
      </c>
      <c r="C75" s="346">
        <f>IFERROR((VLOOKUP($B75,'Unit costs'!$B$178:$F$206,5,FALSE)/$C58),"")</f>
        <v>1.0752688172043011E-4</v>
      </c>
      <c r="D75" s="337">
        <f>IFERROR((VLOOKUP($B75,'Unit costs'!$B$178:$F$206,5,FALSE)/$D58),"")</f>
        <v>1.0752688172043011E-4</v>
      </c>
      <c r="E75" s="346">
        <f>IFERROR((VLOOKUP($B75,'Unit costs'!$B$178:$F$206,5,FALSE)/'Blood sample &amp; packaging'!$E58),"")</f>
        <v>1.1904761904761905E-4</v>
      </c>
      <c r="F75" s="337">
        <f>IFERROR(VLOOKUP($B75,'Unit costs'!$B$178:$F$206,5,FALSE)/'Blood sample &amp; packaging'!$F58,"")</f>
        <v>1.1904761904761905E-4</v>
      </c>
    </row>
    <row r="76" spans="2:6" x14ac:dyDescent="0.25">
      <c r="B76" s="237" t="str">
        <f t="shared" si="3"/>
        <v>stapler</v>
      </c>
      <c r="C76" s="346">
        <f>IFERROR((VLOOKUP($B76,'Unit costs'!$B$178:$F$206,5,FALSE)/$C59),"")</f>
        <v>2.5806451612903226E-5</v>
      </c>
      <c r="D76" s="337">
        <f>IFERROR((VLOOKUP($B76,'Unit costs'!$B$178:$F$206,5,FALSE)/$D59),"")</f>
        <v>2.5806451612903226E-5</v>
      </c>
      <c r="E76" s="346">
        <f>IFERROR((VLOOKUP($B76,'Unit costs'!$B$178:$F$206,5,FALSE)/'Blood sample &amp; packaging'!$E59),"")</f>
        <v>2.8571428571428571E-5</v>
      </c>
      <c r="F76" s="337">
        <f>IFERROR(VLOOKUP($B76,'Unit costs'!$B$178:$F$206,5,FALSE)/'Blood sample &amp; packaging'!$F59,"")</f>
        <v>2.8571428571428571E-5</v>
      </c>
    </row>
    <row r="77" spans="2:6" x14ac:dyDescent="0.25">
      <c r="B77" s="237" t="str">
        <f t="shared" si="3"/>
        <v>printer</v>
      </c>
      <c r="C77" s="346">
        <f>IFERROR((VLOOKUP($B77,'Unit costs'!$B$178:$F$206,5,FALSE)/$C60),"")</f>
        <v>8.6021505376344086E-4</v>
      </c>
      <c r="D77" s="337">
        <f>IFERROR((VLOOKUP($B77,'Unit costs'!$B$178:$F$206,5,FALSE)/$D60),"")</f>
        <v>8.6021505376344086E-4</v>
      </c>
      <c r="E77" s="346">
        <f>IFERROR((VLOOKUP($B77,'Unit costs'!$B$178:$F$206,5,FALSE)/'Blood sample &amp; packaging'!$E60),"")</f>
        <v>9.5238095238095238E-4</v>
      </c>
      <c r="F77" s="337">
        <f>IFERROR(VLOOKUP($B77,'Unit costs'!$B$178:$F$206,5,FALSE)/'Blood sample &amp; packaging'!$F60,"")</f>
        <v>9.5238095238095238E-4</v>
      </c>
    </row>
    <row r="78" spans="2:6" x14ac:dyDescent="0.25">
      <c r="B78" s="237" t="str">
        <f t="shared" si="3"/>
        <v>Samples rack</v>
      </c>
      <c r="C78" s="346">
        <f>IFERROR((VLOOKUP($B78,'Unit costs'!$B$178:$F$206,5,FALSE)/$C61),"")</f>
        <v>6.4516129032258064E-4</v>
      </c>
      <c r="D78" s="337">
        <f>IFERROR((VLOOKUP($B78,'Unit costs'!$B$178:$F$206,5,FALSE)/$D61),"")</f>
        <v>6.4516129032258064E-4</v>
      </c>
      <c r="E78" s="346">
        <f>IFERROR((VLOOKUP($B78,'Unit costs'!$B$178:$F$206,5,FALSE)/'Blood sample &amp; packaging'!$E61),"")</f>
        <v>7.1428571428571429E-4</v>
      </c>
      <c r="F78" s="337">
        <f>IFERROR(VLOOKUP($B78,'Unit costs'!$B$178:$F$206,5,FALSE)/'Blood sample &amp; packaging'!$F61,"")</f>
        <v>7.1428571428571429E-4</v>
      </c>
    </row>
    <row r="79" spans="2:6" x14ac:dyDescent="0.25">
      <c r="B79" s="237" t="str">
        <f t="shared" si="3"/>
        <v>Freezer, blood product</v>
      </c>
      <c r="C79" s="346">
        <f>IFERROR((VLOOKUP($B79,'Unit costs'!$B$178:$F$206,5,FALSE)/$C62),"")</f>
        <v>1.7204301075268817E-2</v>
      </c>
      <c r="D79" s="337">
        <f>IFERROR((VLOOKUP($B79,'Unit costs'!$B$178:$F$206,5,FALSE)/$D62),"")</f>
        <v>1.7204301075268817E-2</v>
      </c>
      <c r="E79" s="346">
        <f>IFERROR((VLOOKUP($B79,'Unit costs'!$B$178:$F$206,5,FALSE)/'Blood sample &amp; packaging'!$E62),"")</f>
        <v>1.9047619047619049E-2</v>
      </c>
      <c r="F79" s="337">
        <f>IFERROR(VLOOKUP($B79,'Unit costs'!$B$178:$F$206,5,FALSE)/'Blood sample &amp; packaging'!$F62,"")</f>
        <v>1.9047619047619049E-2</v>
      </c>
    </row>
    <row r="80" spans="2:6" x14ac:dyDescent="0.25">
      <c r="B80" s="237" t="str">
        <f t="shared" si="3"/>
        <v>Other</v>
      </c>
      <c r="C80" s="346" t="str">
        <f>IFERROR((VLOOKUP($B80,'Unit costs'!$B$178:$F$206,5,FALSE)/$C63),"")</f>
        <v/>
      </c>
      <c r="D80" s="337" t="str">
        <f>IFERROR((VLOOKUP($B80,'Unit costs'!$B$178:$F$206,5,FALSE)/$D63),"")</f>
        <v/>
      </c>
      <c r="E80" s="346" t="str">
        <f>IFERROR((VLOOKUP($B80,'Unit costs'!$B$178:$F$206,5,FALSE)/'Blood sample &amp; packaging'!$E63),"")</f>
        <v/>
      </c>
      <c r="F80" s="337" t="str">
        <f>IFERROR(VLOOKUP($B80,'Unit costs'!$B$178:$F$206,5,FALSE)/'Blood sample &amp; packaging'!$F63,"")</f>
        <v/>
      </c>
    </row>
    <row r="81" spans="2:16" x14ac:dyDescent="0.25">
      <c r="B81" s="237" t="str">
        <f t="shared" si="3"/>
        <v>Other</v>
      </c>
      <c r="C81" s="346" t="str">
        <f>IFERROR((VLOOKUP($B81,'Unit costs'!$B$178:$F$206,5,FALSE)/$C64),"")</f>
        <v/>
      </c>
      <c r="D81" s="337" t="str">
        <f>IFERROR((VLOOKUP($B81,'Unit costs'!$B$178:$F$206,5,FALSE)/$D64),"")</f>
        <v/>
      </c>
      <c r="E81" s="346" t="str">
        <f>IFERROR((VLOOKUP($B81,'Unit costs'!$B$178:$F$206,5,FALSE)/'Blood sample &amp; packaging'!$E64),"")</f>
        <v/>
      </c>
      <c r="F81" s="337" t="str">
        <f>IFERROR(VLOOKUP($B81,'Unit costs'!$B$178:$F$206,5,FALSE)/'Blood sample &amp; packaging'!$F64,"")</f>
        <v/>
      </c>
    </row>
    <row r="82" spans="2:16" x14ac:dyDescent="0.25">
      <c r="B82" s="237" t="str">
        <f t="shared" si="3"/>
        <v>Other</v>
      </c>
      <c r="C82" s="346" t="str">
        <f>IFERROR((VLOOKUP($B82,'Unit costs'!$B$178:$F$206,5,FALSE)/$C65),"")</f>
        <v/>
      </c>
      <c r="D82" s="337" t="str">
        <f>IFERROR((VLOOKUP($B82,'Unit costs'!$B$178:$F$206,5,FALSE)/$D65),"")</f>
        <v/>
      </c>
      <c r="E82" s="346" t="str">
        <f>IFERROR((VLOOKUP($B82,'Unit costs'!$B$178:$F$206,5,FALSE)/'Blood sample &amp; packaging'!$E65),"")</f>
        <v/>
      </c>
      <c r="F82" s="337" t="str">
        <f>IFERROR(VLOOKUP($B82,'Unit costs'!$B$178:$F$206,5,FALSE)/'Blood sample &amp; packaging'!$F65,"")</f>
        <v/>
      </c>
    </row>
    <row r="83" spans="2:16" x14ac:dyDescent="0.25">
      <c r="B83" s="237" t="str">
        <f t="shared" si="3"/>
        <v>Other</v>
      </c>
      <c r="C83" s="346" t="str">
        <f>IFERROR((VLOOKUP($B83,'Unit costs'!$B$178:$F$206,5,FALSE)/$C66),"")</f>
        <v/>
      </c>
      <c r="D83" s="337" t="str">
        <f>IFERROR((VLOOKUP($B83,'Unit costs'!$B$178:$F$206,5,FALSE)/$D66),"")</f>
        <v/>
      </c>
      <c r="E83" s="346" t="str">
        <f>IFERROR((VLOOKUP($B83,'Unit costs'!$B$178:$F$206,5,FALSE)/'Blood sample &amp; packaging'!$E66),"")</f>
        <v/>
      </c>
      <c r="F83" s="337" t="str">
        <f>IFERROR(VLOOKUP($B83,'Unit costs'!$B$178:$F$206,5,FALSE)/'Blood sample &amp; packaging'!$F66,"")</f>
        <v/>
      </c>
    </row>
    <row r="84" spans="2:16" x14ac:dyDescent="0.25">
      <c r="B84" s="237" t="str">
        <f t="shared" si="3"/>
        <v>Other</v>
      </c>
      <c r="C84" s="346" t="str">
        <f>IFERROR((VLOOKUP($B84,'Unit costs'!$B$178:$F$206,5,FALSE)/$C67),"")</f>
        <v/>
      </c>
      <c r="D84" s="337" t="str">
        <f>IFERROR((VLOOKUP($B84,'Unit costs'!$B$178:$F$206,5,FALSE)/$D67),"")</f>
        <v/>
      </c>
      <c r="E84" s="346" t="str">
        <f>IFERROR((VLOOKUP($B84,'Unit costs'!$B$178:$F$206,5,FALSE)/'Blood sample &amp; packaging'!$E67),"")</f>
        <v/>
      </c>
      <c r="F84" s="337" t="str">
        <f>IFERROR(VLOOKUP($B84,'Unit costs'!$B$178:$F$206,5,FALSE)/'Blood sample &amp; packaging'!$F67,"")</f>
        <v/>
      </c>
    </row>
    <row r="85" spans="2:16" x14ac:dyDescent="0.25">
      <c r="B85" s="237" t="str">
        <f t="shared" si="3"/>
        <v>Other</v>
      </c>
      <c r="C85" s="346" t="str">
        <f>IFERROR((VLOOKUP($B85,'Unit costs'!$B$178:$F$206,5,FALSE)/$C68),"")</f>
        <v/>
      </c>
      <c r="D85" s="337" t="str">
        <f>IFERROR((VLOOKUP($B85,'Unit costs'!$B$178:$F$206,5,FALSE)/$D68),"")</f>
        <v/>
      </c>
      <c r="E85" s="346" t="str">
        <f>IFERROR((VLOOKUP($B85,'Unit costs'!$B$178:$F$206,5,FALSE)/'Blood sample &amp; packaging'!$E68),"")</f>
        <v/>
      </c>
      <c r="F85" s="337" t="str">
        <f>IFERROR(VLOOKUP($B85,'Unit costs'!$B$178:$F$206,5,FALSE)/'Blood sample &amp; packaging'!$F68,"")</f>
        <v/>
      </c>
    </row>
    <row r="86" spans="2:16" x14ac:dyDescent="0.25">
      <c r="B86" s="237" t="str">
        <f t="shared" si="3"/>
        <v>Other</v>
      </c>
      <c r="C86" s="346" t="str">
        <f>IFERROR((VLOOKUP($B86,'Unit costs'!$B$178:$F$206,5,FALSE)/$C69),"")</f>
        <v/>
      </c>
      <c r="D86" s="337" t="str">
        <f>IFERROR((VLOOKUP($B86,'Unit costs'!$B$178:$F$206,5,FALSE)/$D69),"")</f>
        <v/>
      </c>
      <c r="E86" s="346" t="str">
        <f>IFERROR((VLOOKUP($B86,'Unit costs'!$B$178:$F$206,5,FALSE)/'Blood sample &amp; packaging'!$E69),"")</f>
        <v/>
      </c>
      <c r="F86" s="337" t="str">
        <f>IFERROR(VLOOKUP($B86,'Unit costs'!$B$178:$F$206,5,FALSE)/'Blood sample &amp; packaging'!$F69,"")</f>
        <v/>
      </c>
    </row>
    <row r="87" spans="2:16" x14ac:dyDescent="0.25">
      <c r="B87" s="231"/>
      <c r="C87" s="231"/>
      <c r="D87" s="231"/>
      <c r="E87" s="231"/>
      <c r="F87" s="231"/>
      <c r="G87" s="231"/>
      <c r="H87" s="236"/>
      <c r="I87" s="236"/>
      <c r="J87" s="236"/>
      <c r="K87" s="236"/>
      <c r="L87" s="236"/>
    </row>
    <row r="88" spans="2:16" ht="7.5" customHeight="1" x14ac:dyDescent="0.25"/>
    <row r="89" spans="2:16" ht="22.9" customHeight="1" x14ac:dyDescent="0.25">
      <c r="B89" s="445" t="s">
        <v>74</v>
      </c>
      <c r="C89" s="445"/>
      <c r="D89" s="445"/>
      <c r="E89" s="445"/>
      <c r="F89" s="445"/>
      <c r="G89" s="445"/>
      <c r="H89" s="445"/>
      <c r="I89" s="445"/>
      <c r="J89" s="445"/>
      <c r="K89" s="445"/>
      <c r="L89" s="445"/>
    </row>
    <row r="90" spans="2:16" x14ac:dyDescent="0.25">
      <c r="B90" s="147"/>
      <c r="C90" s="147"/>
      <c r="D90" s="147"/>
      <c r="E90" s="147"/>
      <c r="F90" s="147"/>
      <c r="G90" s="147"/>
      <c r="H90" s="147"/>
      <c r="I90" s="147"/>
      <c r="J90" s="158"/>
      <c r="K90" s="158"/>
      <c r="L90" s="158"/>
    </row>
    <row r="91" spans="2:16" s="112" customFormat="1" ht="15.75" thickBot="1" x14ac:dyDescent="0.3">
      <c r="B91" s="463" t="s">
        <v>514</v>
      </c>
      <c r="C91" s="463"/>
      <c r="D91" s="463"/>
      <c r="E91" s="463"/>
      <c r="F91" s="463"/>
      <c r="G91" s="463"/>
      <c r="H91" s="120"/>
      <c r="I91" s="120"/>
      <c r="J91" s="120"/>
      <c r="K91" s="120"/>
      <c r="L91" s="120"/>
      <c r="M91" s="158"/>
      <c r="N91" s="158"/>
      <c r="O91" s="158"/>
      <c r="P91" s="158"/>
    </row>
    <row r="92" spans="2:16" ht="45.6" customHeight="1" thickBot="1" x14ac:dyDescent="0.3">
      <c r="B92" s="139" t="s">
        <v>231</v>
      </c>
      <c r="C92" s="238" t="str">
        <f>'Set up'!B18</f>
        <v>Abbott M2000 RealTime</v>
      </c>
      <c r="D92" s="152" t="str">
        <f>'Set up'!B19</f>
        <v>Abbott M2000 RealTime</v>
      </c>
      <c r="E92" s="152" t="str">
        <f>'Set up'!B20</f>
        <v>Roche COBAS Ampliprep/TaqMan 48</v>
      </c>
      <c r="F92" s="152" t="str">
        <f>'Set up'!B21</f>
        <v>Roche COBAS Ampliprep/TaqMan 48</v>
      </c>
    </row>
    <row r="93" spans="2:16" ht="15.75" thickBot="1" x14ac:dyDescent="0.3">
      <c r="B93" s="239" t="s">
        <v>237</v>
      </c>
      <c r="C93" s="408">
        <f>IFERROR(VLOOKUP($B93,'Unit costs'!$B$86:$E$173,4,FALSE),"")</f>
        <v>1</v>
      </c>
      <c r="D93" s="402">
        <f>IFERROR(VLOOKUP($B93,'Unit costs'!$B$86:$E$173,4,FALSE),"")</f>
        <v>1</v>
      </c>
      <c r="E93" s="402">
        <f>IFERROR(VLOOKUP($B93,'Unit costs'!$B$86:$E$173,4,FALSE),"")</f>
        <v>1</v>
      </c>
      <c r="F93" s="402">
        <f>IFERROR(VLOOKUP($B93,'Unit costs'!$B$86:$E$173,4,FALSE),"")</f>
        <v>1</v>
      </c>
    </row>
    <row r="94" spans="2:16" ht="15.75" thickBot="1" x14ac:dyDescent="0.3">
      <c r="B94" s="184" t="s">
        <v>29</v>
      </c>
      <c r="C94" s="408">
        <f>IFERROR(VLOOKUP($B94,'Unit costs'!$B$86:$E$173,4,FALSE),"")</f>
        <v>4.4444444444444446E-2</v>
      </c>
      <c r="D94" s="402">
        <f>IFERROR(VLOOKUP($B94,'Unit costs'!$B$86:$E$173,4,FALSE),"")</f>
        <v>4.4444444444444446E-2</v>
      </c>
      <c r="E94" s="402">
        <f>IFERROR(VLOOKUP($B94,'Unit costs'!$B$86:$E$173,4,FALSE),"")</f>
        <v>4.4444444444444446E-2</v>
      </c>
      <c r="F94" s="402">
        <f>IFERROR(VLOOKUP($B94,'Unit costs'!$B$86:$E$173,4,FALSE),"")</f>
        <v>4.4444444444444446E-2</v>
      </c>
    </row>
    <row r="95" spans="2:16" ht="15.75" thickBot="1" x14ac:dyDescent="0.3">
      <c r="B95" s="184" t="s">
        <v>238</v>
      </c>
      <c r="C95" s="408">
        <f>IFERROR(VLOOKUP($B95,'Unit costs'!$B$86:$E$173,4,FALSE),"")</f>
        <v>1</v>
      </c>
      <c r="D95" s="402">
        <f>IFERROR(VLOOKUP($B95,'Unit costs'!$B$86:$E$173,4,FALSE),"")</f>
        <v>1</v>
      </c>
      <c r="E95" s="402">
        <f>IFERROR(VLOOKUP($B95,'Unit costs'!$B$86:$E$173,4,FALSE),"")</f>
        <v>1</v>
      </c>
      <c r="F95" s="402">
        <f>IFERROR(VLOOKUP($B95,'Unit costs'!$B$86:$E$173,4,FALSE),"")</f>
        <v>1</v>
      </c>
    </row>
    <row r="96" spans="2:16" ht="15.75" thickBot="1" x14ac:dyDescent="0.3">
      <c r="B96" s="184" t="s">
        <v>239</v>
      </c>
      <c r="C96" s="408">
        <f>IFERROR(VLOOKUP($B96,'Unit costs'!$B$86:$E$173,4,FALSE),"")</f>
        <v>1E-3</v>
      </c>
      <c r="D96" s="402">
        <f>IFERROR(VLOOKUP($B96,'Unit costs'!$B$86:$E$173,4,FALSE),"")</f>
        <v>1E-3</v>
      </c>
      <c r="E96" s="402">
        <f>IFERROR(VLOOKUP($B96,'Unit costs'!$B$86:$E$173,4,FALSE),"")</f>
        <v>1E-3</v>
      </c>
      <c r="F96" s="402">
        <f>IFERROR(VLOOKUP($B96,'Unit costs'!$B$86:$E$173,4,FALSE),"")</f>
        <v>1E-3</v>
      </c>
    </row>
    <row r="97" spans="2:6" ht="15.75" thickBot="1" x14ac:dyDescent="0.3">
      <c r="B97" s="184" t="s">
        <v>246</v>
      </c>
      <c r="C97" s="408">
        <f>IFERROR(VLOOKUP($B97,'Unit costs'!$B$86:$E$173,4,FALSE),"")</f>
        <v>5.0000000000000001E-3</v>
      </c>
      <c r="D97" s="402">
        <f>IFERROR(VLOOKUP($B97,'Unit costs'!$B$86:$E$173,4,FALSE),"")</f>
        <v>5.0000000000000001E-3</v>
      </c>
      <c r="E97" s="402">
        <f>IFERROR(VLOOKUP($B97,'Unit costs'!$B$86:$E$173,4,FALSE),"")</f>
        <v>5.0000000000000001E-3</v>
      </c>
      <c r="F97" s="402">
        <f>IFERROR(VLOOKUP($B97,'Unit costs'!$B$86:$E$173,4,FALSE),"")</f>
        <v>5.0000000000000001E-3</v>
      </c>
    </row>
    <row r="98" spans="2:6" ht="15.75" thickBot="1" x14ac:dyDescent="0.3">
      <c r="B98" s="184" t="s">
        <v>240</v>
      </c>
      <c r="C98" s="408">
        <f>IFERROR(VLOOKUP($B98,'Unit costs'!$B$86:$E$173,4,FALSE),"")</f>
        <v>1.0416666666666666E-2</v>
      </c>
      <c r="D98" s="402">
        <f>IFERROR(VLOOKUP($B98,'Unit costs'!$B$86:$E$173,4,FALSE),"")</f>
        <v>1.0416666666666666E-2</v>
      </c>
      <c r="E98" s="402">
        <f>IFERROR(VLOOKUP($B98,'Unit costs'!$B$86:$E$173,4,FALSE),"")</f>
        <v>1.0416666666666666E-2</v>
      </c>
      <c r="F98" s="402">
        <f>IFERROR(VLOOKUP($B98,'Unit costs'!$B$86:$E$173,4,FALSE),"")</f>
        <v>1.0416666666666666E-2</v>
      </c>
    </row>
    <row r="99" spans="2:6" ht="15.75" thickBot="1" x14ac:dyDescent="0.3">
      <c r="B99" s="184" t="s">
        <v>28</v>
      </c>
      <c r="C99" s="408">
        <f>IFERROR(VLOOKUP($B99,'Unit costs'!$B$86:$E$173,4,FALSE),"")</f>
        <v>2</v>
      </c>
      <c r="D99" s="402">
        <f>IFERROR(VLOOKUP($B99,'Unit costs'!$B$86:$E$173,4,FALSE),"")</f>
        <v>2</v>
      </c>
      <c r="E99" s="402">
        <f>IFERROR(VLOOKUP($B99,'Unit costs'!$B$86:$E$173,4,FALSE),"")</f>
        <v>2</v>
      </c>
      <c r="F99" s="402">
        <f>IFERROR(VLOOKUP($B99,'Unit costs'!$B$86:$E$173,4,FALSE),"")</f>
        <v>2</v>
      </c>
    </row>
    <row r="100" spans="2:6" ht="15.75" thickBot="1" x14ac:dyDescent="0.3">
      <c r="B100" s="184" t="s">
        <v>242</v>
      </c>
      <c r="C100" s="408">
        <f>IFERROR(VLOOKUP($B100,'Unit costs'!$B$86:$E$173,4,FALSE),"")</f>
        <v>2.8735632183908045E-5</v>
      </c>
      <c r="D100" s="402">
        <f>IFERROR(VLOOKUP($B100,'Unit costs'!$B$86:$E$173,4,FALSE),"")</f>
        <v>2.8735632183908045E-5</v>
      </c>
      <c r="E100" s="402">
        <f>IFERROR(VLOOKUP($B100,'Unit costs'!$B$86:$E$173,4,FALSE),"")</f>
        <v>2.8735632183908045E-5</v>
      </c>
      <c r="F100" s="402">
        <f>IFERROR(VLOOKUP($B100,'Unit costs'!$B$86:$E$173,4,FALSE),"")</f>
        <v>2.8735632183908045E-5</v>
      </c>
    </row>
    <row r="101" spans="2:6" ht="15.75" thickBot="1" x14ac:dyDescent="0.3">
      <c r="B101" s="184" t="s">
        <v>243</v>
      </c>
      <c r="C101" s="408">
        <f>IFERROR(VLOOKUP($B101,'Unit costs'!$B$86:$E$173,4,FALSE),"")</f>
        <v>1</v>
      </c>
      <c r="D101" s="402">
        <f>IFERROR(VLOOKUP($B101,'Unit costs'!$B$86:$E$173,4,FALSE),"")</f>
        <v>1</v>
      </c>
      <c r="E101" s="402">
        <f>IFERROR(VLOOKUP($B101,'Unit costs'!$B$86:$E$173,4,FALSE),"")</f>
        <v>1</v>
      </c>
      <c r="F101" s="402">
        <f>IFERROR(VLOOKUP($B101,'Unit costs'!$B$86:$E$173,4,FALSE),"")</f>
        <v>1</v>
      </c>
    </row>
    <row r="102" spans="2:6" ht="15.75" thickBot="1" x14ac:dyDescent="0.3">
      <c r="B102" s="184" t="s">
        <v>244</v>
      </c>
      <c r="C102" s="408">
        <f>IFERROR(VLOOKUP($B102,'Unit costs'!$B$86:$E$173,4,FALSE),"")</f>
        <v>1</v>
      </c>
      <c r="D102" s="402">
        <f>IFERROR(VLOOKUP($B102,'Unit costs'!$B$86:$E$173,4,FALSE),"")</f>
        <v>1</v>
      </c>
      <c r="E102" s="402">
        <f>IFERROR(VLOOKUP($B102,'Unit costs'!$B$86:$E$173,4,FALSE),"")</f>
        <v>1</v>
      </c>
      <c r="F102" s="402">
        <f>IFERROR(VLOOKUP($B102,'Unit costs'!$B$86:$E$173,4,FALSE),"")</f>
        <v>1</v>
      </c>
    </row>
    <row r="103" spans="2:6" ht="15.75" thickBot="1" x14ac:dyDescent="0.3">
      <c r="B103" s="184" t="s">
        <v>245</v>
      </c>
      <c r="C103" s="408">
        <f>IFERROR(VLOOKUP($B103,'Unit costs'!$B$86:$E$173,4,FALSE),"")</f>
        <v>1</v>
      </c>
      <c r="D103" s="402">
        <f>IFERROR(VLOOKUP($B103,'Unit costs'!$B$86:$E$173,4,FALSE),"")</f>
        <v>1</v>
      </c>
      <c r="E103" s="402">
        <f>IFERROR(VLOOKUP($B103,'Unit costs'!$B$86:$E$173,4,FALSE),"")</f>
        <v>1</v>
      </c>
      <c r="F103" s="402">
        <f>IFERROR(VLOOKUP($B103,'Unit costs'!$B$86:$E$173,4,FALSE),"")</f>
        <v>1</v>
      </c>
    </row>
    <row r="104" spans="2:6" ht="15.75" thickBot="1" x14ac:dyDescent="0.3">
      <c r="B104" s="184" t="s">
        <v>305</v>
      </c>
      <c r="C104" s="408">
        <f>IFERROR(VLOOKUP($B104,'Unit costs'!$B$86:$E$173,4,FALSE),"")</f>
        <v>3.3333333333333335E-3</v>
      </c>
      <c r="D104" s="402">
        <f>IFERROR(VLOOKUP($B104,'Unit costs'!$B$86:$E$173,4,FALSE),"")</f>
        <v>3.3333333333333335E-3</v>
      </c>
      <c r="E104" s="402">
        <f>IFERROR(VLOOKUP($B104,'Unit costs'!$B$86:$E$173,4,FALSE),"")</f>
        <v>3.3333333333333335E-3</v>
      </c>
      <c r="F104" s="402">
        <f>IFERROR(VLOOKUP($B104,'Unit costs'!$B$86:$E$173,4,FALSE),"")</f>
        <v>3.3333333333333335E-3</v>
      </c>
    </row>
    <row r="105" spans="2:6" ht="15.75" thickBot="1" x14ac:dyDescent="0.3">
      <c r="B105" s="184" t="s">
        <v>248</v>
      </c>
      <c r="C105" s="408">
        <f>IFERROR(VLOOKUP($B105,'Unit costs'!$B$86:$E$173,4,FALSE),"")</f>
        <v>4.0000000000000001E-3</v>
      </c>
      <c r="D105" s="402">
        <f>IFERROR(VLOOKUP($B105,'Unit costs'!$B$86:$E$173,4,FALSE),"")</f>
        <v>4.0000000000000001E-3</v>
      </c>
      <c r="E105" s="402">
        <f>IFERROR(VLOOKUP($B105,'Unit costs'!$B$86:$E$173,4,FALSE),"")</f>
        <v>4.0000000000000001E-3</v>
      </c>
      <c r="F105" s="402">
        <f>IFERROR(VLOOKUP($B105,'Unit costs'!$B$86:$E$173,4,FALSE),"")</f>
        <v>4.0000000000000001E-3</v>
      </c>
    </row>
    <row r="106" spans="2:6" ht="15.75" thickBot="1" x14ac:dyDescent="0.3">
      <c r="B106" s="184" t="s">
        <v>290</v>
      </c>
      <c r="C106" s="408">
        <f>IFERROR(VLOOKUP($B106,'Unit costs'!$B$86:$E$173,4,FALSE),"")</f>
        <v>5.0000000000000001E-4</v>
      </c>
      <c r="D106" s="402">
        <f>IFERROR(VLOOKUP($B106,'Unit costs'!$B$86:$E$173,4,FALSE),"")</f>
        <v>5.0000000000000001E-4</v>
      </c>
      <c r="E106" s="402">
        <f>IFERROR(VLOOKUP($B106,'Unit costs'!$B$86:$E$173,4,FALSE),"")</f>
        <v>5.0000000000000001E-4</v>
      </c>
      <c r="F106" s="402">
        <f>IFERROR(VLOOKUP($B106,'Unit costs'!$B$86:$E$173,4,FALSE),"")</f>
        <v>5.0000000000000001E-4</v>
      </c>
    </row>
    <row r="107" spans="2:6" ht="15.75" thickBot="1" x14ac:dyDescent="0.3">
      <c r="B107" s="240"/>
      <c r="C107" s="408" t="str">
        <f>IFERROR(VLOOKUP($B107,'Unit costs'!$B$86:$E$173,4,FALSE),"")</f>
        <v/>
      </c>
      <c r="D107" s="402" t="str">
        <f>IFERROR(VLOOKUP($B107,'Unit costs'!$B$86:$E$173,4,FALSE),"")</f>
        <v/>
      </c>
      <c r="E107" s="402" t="str">
        <f>IFERROR(VLOOKUP($B107,'Unit costs'!$B$86:$E$173,4,FALSE),"")</f>
        <v/>
      </c>
      <c r="F107" s="402" t="str">
        <f>IFERROR(VLOOKUP($B107,'Unit costs'!$B$86:$E$173,4,FALSE),"")</f>
        <v/>
      </c>
    </row>
    <row r="108" spans="2:6" ht="16.149999999999999" customHeight="1" thickBot="1" x14ac:dyDescent="0.3">
      <c r="B108" s="240"/>
      <c r="C108" s="408" t="str">
        <f>IFERROR(VLOOKUP($B108,'Unit costs'!$B$86:$E$173,4,FALSE),"")</f>
        <v/>
      </c>
      <c r="D108" s="402" t="str">
        <f>IFERROR(VLOOKUP($B108,'Unit costs'!$B$86:$E$173,4,FALSE),"")</f>
        <v/>
      </c>
      <c r="E108" s="402" t="str">
        <f>IFERROR(VLOOKUP($B108,'Unit costs'!$B$86:$E$173,4,FALSE),"")</f>
        <v/>
      </c>
      <c r="F108" s="402" t="str">
        <f>IFERROR(VLOOKUP($B108,'Unit costs'!$B$86:$E$173,4,FALSE),"")</f>
        <v/>
      </c>
    </row>
    <row r="109" spans="2:6" ht="15.75" thickBot="1" x14ac:dyDescent="0.3">
      <c r="B109" s="184"/>
      <c r="C109" s="408" t="str">
        <f>IFERROR(VLOOKUP($B109,'Unit costs'!$B$86:$E$173,4,FALSE),"")</f>
        <v/>
      </c>
      <c r="D109" s="402" t="str">
        <f>IFERROR(VLOOKUP($B109,'Unit costs'!$B$86:$E$173,4,FALSE),"")</f>
        <v/>
      </c>
      <c r="E109" s="402" t="str">
        <f>IFERROR(VLOOKUP($B109,'Unit costs'!$B$86:$E$173,4,FALSE),"")</f>
        <v/>
      </c>
      <c r="F109" s="402" t="str">
        <f>IFERROR(VLOOKUP($B109,'Unit costs'!$B$86:$E$173,4,FALSE),"")</f>
        <v/>
      </c>
    </row>
    <row r="110" spans="2:6" ht="15.75" thickBot="1" x14ac:dyDescent="0.3">
      <c r="B110" s="184"/>
      <c r="C110" s="408" t="str">
        <f>IFERROR(VLOOKUP($B110,'Unit costs'!$B$86:$E$173,4,FALSE),"")</f>
        <v/>
      </c>
      <c r="D110" s="402" t="str">
        <f>IFERROR(VLOOKUP($B110,'Unit costs'!$B$86:$E$173,4,FALSE),"")</f>
        <v/>
      </c>
      <c r="E110" s="402" t="str">
        <f>IFERROR(VLOOKUP($B110,'Unit costs'!$B$86:$E$173,4,FALSE),"")</f>
        <v/>
      </c>
      <c r="F110" s="402" t="str">
        <f>IFERROR(VLOOKUP($B110,'Unit costs'!$B$86:$E$173,4,FALSE),"")</f>
        <v/>
      </c>
    </row>
    <row r="111" spans="2:6" ht="15.75" thickBot="1" x14ac:dyDescent="0.3">
      <c r="B111" s="240"/>
      <c r="C111" s="408" t="str">
        <f>IFERROR(VLOOKUP($B111,'Unit costs'!$B$86:$E$173,4,FALSE),"")</f>
        <v/>
      </c>
      <c r="D111" s="402" t="str">
        <f>IFERROR(VLOOKUP($B111,'Unit costs'!$B$86:$E$173,4,FALSE),"")</f>
        <v/>
      </c>
      <c r="E111" s="402" t="str">
        <f>IFERROR(VLOOKUP($B111,'Unit costs'!$B$86:$E$173,4,FALSE),"")</f>
        <v/>
      </c>
      <c r="F111" s="402" t="str">
        <f>IFERROR(VLOOKUP($B111,'Unit costs'!$B$86:$E$173,4,FALSE),"")</f>
        <v/>
      </c>
    </row>
    <row r="112" spans="2:6" ht="15.75" thickBot="1" x14ac:dyDescent="0.3">
      <c r="B112" s="184"/>
      <c r="C112" s="408" t="str">
        <f>IFERROR(VLOOKUP($B112,'Unit costs'!$B$86:$E$173,4,FALSE),"")</f>
        <v/>
      </c>
      <c r="D112" s="402" t="str">
        <f>IFERROR(VLOOKUP($B112,'Unit costs'!$B$86:$E$173,4,FALSE),"")</f>
        <v/>
      </c>
      <c r="E112" s="402" t="str">
        <f>IFERROR(VLOOKUP($B112,'Unit costs'!$B$86:$E$173,4,FALSE),"")</f>
        <v/>
      </c>
      <c r="F112" s="402" t="str">
        <f>IFERROR(VLOOKUP($B112,'Unit costs'!$B$86:$E$173,4,FALSE),"")</f>
        <v/>
      </c>
    </row>
    <row r="113" spans="2:6" ht="15.75" thickBot="1" x14ac:dyDescent="0.3">
      <c r="B113" s="184"/>
      <c r="C113" s="408" t="str">
        <f>IFERROR(VLOOKUP($B113,'Unit costs'!$B$86:$E$173,4,FALSE),"")</f>
        <v/>
      </c>
      <c r="D113" s="402" t="str">
        <f>IFERROR(VLOOKUP($B113,'Unit costs'!$B$86:$E$173,4,FALSE),"")</f>
        <v/>
      </c>
      <c r="E113" s="402" t="str">
        <f>IFERROR(VLOOKUP($B113,'Unit costs'!$B$86:$E$173,4,FALSE),"")</f>
        <v/>
      </c>
      <c r="F113" s="402" t="str">
        <f>IFERROR(VLOOKUP($B113,'Unit costs'!$B$86:$E$173,4,FALSE),"")</f>
        <v/>
      </c>
    </row>
    <row r="114" spans="2:6" ht="15.75" thickBot="1" x14ac:dyDescent="0.3">
      <c r="B114" s="184"/>
      <c r="C114" s="408" t="str">
        <f>IFERROR(VLOOKUP($B114,'Unit costs'!$B$86:$E$173,4,FALSE),"")</f>
        <v/>
      </c>
      <c r="D114" s="402" t="str">
        <f>IFERROR(VLOOKUP($B114,'Unit costs'!$B$86:$E$173,4,FALSE),"")</f>
        <v/>
      </c>
      <c r="E114" s="402" t="str">
        <f>IFERROR(VLOOKUP($B114,'Unit costs'!$B$86:$E$173,4,FALSE),"")</f>
        <v/>
      </c>
      <c r="F114" s="402" t="str">
        <f>IFERROR(VLOOKUP($B114,'Unit costs'!$B$86:$E$173,4,FALSE),"")</f>
        <v/>
      </c>
    </row>
    <row r="115" spans="2:6" ht="15.75" thickBot="1" x14ac:dyDescent="0.3">
      <c r="B115" s="184"/>
      <c r="C115" s="408" t="str">
        <f>IFERROR(VLOOKUP($B115,'Unit costs'!$B$86:$E$173,4,FALSE),"")</f>
        <v/>
      </c>
      <c r="D115" s="402" t="str">
        <f>IFERROR(VLOOKUP($B115,'Unit costs'!$B$86:$E$173,4,FALSE),"")</f>
        <v/>
      </c>
      <c r="E115" s="402" t="str">
        <f>IFERROR(VLOOKUP($B115,'Unit costs'!$B$86:$E$173,4,FALSE),"")</f>
        <v/>
      </c>
      <c r="F115" s="402" t="str">
        <f>IFERROR(VLOOKUP($B115,'Unit costs'!$B$86:$E$173,4,FALSE),"")</f>
        <v/>
      </c>
    </row>
    <row r="116" spans="2:6" ht="15.75" thickBot="1" x14ac:dyDescent="0.3">
      <c r="B116" s="184" t="s">
        <v>92</v>
      </c>
      <c r="C116" s="408" t="str">
        <f>IFERROR(VLOOKUP($B116,'Unit costs'!$B$86:$E$173,4,FALSE),"")</f>
        <v/>
      </c>
      <c r="D116" s="402" t="str">
        <f>IFERROR(VLOOKUP($B116,'Unit costs'!$B$86:$E$173,4,FALSE),"")</f>
        <v/>
      </c>
      <c r="E116" s="402" t="str">
        <f>IFERROR(VLOOKUP($B116,'Unit costs'!$B$86:$E$173,4,FALSE),"")</f>
        <v/>
      </c>
      <c r="F116" s="402" t="str">
        <f>IFERROR(VLOOKUP($B116,'Unit costs'!$B$86:$E$173,4,FALSE),"")</f>
        <v/>
      </c>
    </row>
    <row r="117" spans="2:6" ht="15.75" thickBot="1" x14ac:dyDescent="0.3">
      <c r="B117" s="184" t="s">
        <v>92</v>
      </c>
      <c r="C117" s="408" t="str">
        <f>IFERROR(VLOOKUP($B117,'Unit costs'!$B$86:$E$173,4,FALSE),"")</f>
        <v/>
      </c>
      <c r="D117" s="402" t="str">
        <f>IFERROR(VLOOKUP($B117,'Unit costs'!$B$86:$E$173,4,FALSE),"")</f>
        <v/>
      </c>
      <c r="E117" s="402" t="str">
        <f>IFERROR(VLOOKUP($B117,'Unit costs'!$B$86:$E$173,4,FALSE),"")</f>
        <v/>
      </c>
      <c r="F117" s="402" t="str">
        <f>IFERROR(VLOOKUP($B117,'Unit costs'!$B$86:$E$173,4,FALSE),"")</f>
        <v/>
      </c>
    </row>
    <row r="118" spans="2:6" ht="15.75" thickBot="1" x14ac:dyDescent="0.3">
      <c r="B118" s="184" t="s">
        <v>92</v>
      </c>
      <c r="C118" s="408" t="str">
        <f>IFERROR(VLOOKUP($B118,'Unit costs'!$B$86:$E$173,4,FALSE),"")</f>
        <v/>
      </c>
      <c r="D118" s="402" t="str">
        <f>IFERROR(VLOOKUP($B118,'Unit costs'!$B$86:$E$173,4,FALSE),"")</f>
        <v/>
      </c>
      <c r="E118" s="402" t="str">
        <f>IFERROR(VLOOKUP($B118,'Unit costs'!$B$86:$E$173,4,FALSE),"")</f>
        <v/>
      </c>
      <c r="F118" s="402" t="str">
        <f>IFERROR(VLOOKUP($B118,'Unit costs'!$B$86:$E$173,4,FALSE),"")</f>
        <v/>
      </c>
    </row>
    <row r="119" spans="2:6" ht="15.75" thickBot="1" x14ac:dyDescent="0.3">
      <c r="B119" s="184" t="s">
        <v>92</v>
      </c>
      <c r="C119" s="408" t="str">
        <f>IFERROR(VLOOKUP($B119,'Unit costs'!$B$86:$E$173,4,FALSE),"")</f>
        <v/>
      </c>
      <c r="D119" s="402" t="str">
        <f>IFERROR(VLOOKUP($B119,'Unit costs'!$B$86:$E$173,4,FALSE),"")</f>
        <v/>
      </c>
      <c r="E119" s="402" t="str">
        <f>IFERROR(VLOOKUP($B119,'Unit costs'!$B$86:$E$173,4,FALSE),"")</f>
        <v/>
      </c>
      <c r="F119" s="402" t="str">
        <f>IFERROR(VLOOKUP($B119,'Unit costs'!$B$86:$E$173,4,FALSE),"")</f>
        <v/>
      </c>
    </row>
    <row r="120" spans="2:6" x14ac:dyDescent="0.25">
      <c r="B120" s="184" t="s">
        <v>92</v>
      </c>
      <c r="C120" s="408" t="str">
        <f>IFERROR(VLOOKUP($B120,'Unit costs'!$B$86:$E$173,4,FALSE),"")</f>
        <v/>
      </c>
      <c r="D120" s="402" t="str">
        <f>IFERROR(VLOOKUP($B120,'Unit costs'!$B$86:$E$173,4,FALSE),"")</f>
        <v/>
      </c>
      <c r="E120" s="402" t="str">
        <f>IFERROR(VLOOKUP($B120,'Unit costs'!$B$86:$E$173,4,FALSE),"")</f>
        <v/>
      </c>
      <c r="F120" s="402" t="str">
        <f>IFERROR(VLOOKUP($B120,'Unit costs'!$B$86:$E$173,4,FALSE),"")</f>
        <v/>
      </c>
    </row>
    <row r="121" spans="2:6" s="158" customFormat="1" x14ac:dyDescent="0.25">
      <c r="B121" s="207"/>
      <c r="C121" s="207"/>
      <c r="D121" s="207"/>
      <c r="E121" s="207"/>
      <c r="F121" s="207"/>
    </row>
    <row r="122" spans="2:6" s="158" customFormat="1" ht="15.75" thickBot="1" x14ac:dyDescent="0.3">
      <c r="B122" s="446" t="s">
        <v>519</v>
      </c>
      <c r="C122" s="447"/>
      <c r="D122" s="446"/>
      <c r="E122" s="447"/>
      <c r="F122" s="446"/>
    </row>
    <row r="123" spans="2:6" s="158" customFormat="1" ht="15.75" thickBot="1" x14ac:dyDescent="0.3">
      <c r="B123" s="241" t="str">
        <f>B93</f>
        <v>Vaccutainer needles. (19-23 gauge) (box of 100)</v>
      </c>
      <c r="C123" s="348">
        <f>IFERROR(VLOOKUP(B123,'Unit costs'!$B$86:$F$173,5,FALSE)*C93,"")</f>
        <v>0.27613412228796802</v>
      </c>
      <c r="D123" s="348">
        <f>IFERROR(VLOOKUP(B123,'Unit costs'!$B$86:$F$173,5,FALSE)*D93,"")</f>
        <v>0.27613412228796802</v>
      </c>
      <c r="E123" s="348">
        <f>IFERROR(VLOOKUP($B123,'Unit costs'!$B$86:$F$173,5,FALSE)*E93,"")</f>
        <v>0.27613412228796802</v>
      </c>
      <c r="F123" s="348">
        <f>IFERROR(VLOOKUP($B123,'Unit costs'!$B$86:$F$173,5,FALSE)*F93,"")</f>
        <v>0.27613412228796802</v>
      </c>
    </row>
    <row r="124" spans="2:6" s="158" customFormat="1" ht="15.75" thickBot="1" x14ac:dyDescent="0.3">
      <c r="B124" s="242" t="str">
        <f>B94</f>
        <v>Sharps container (2L plastic)</v>
      </c>
      <c r="C124" s="348">
        <f>IFERROR(VLOOKUP(B124,'Unit costs'!$B$86:$F$173,5,FALSE)*C94,"")</f>
        <v>2.9220542041054811E-3</v>
      </c>
      <c r="D124" s="348">
        <f>IFERROR(VLOOKUP(B124,'Unit costs'!$B$86:$F$173,5,FALSE)*D94,"")</f>
        <v>2.9220542041054811E-3</v>
      </c>
      <c r="E124" s="348">
        <f>IFERROR(VLOOKUP($B124,'Unit costs'!$B$86:$F$173,5,FALSE)*E94,"")</f>
        <v>2.9220542041054811E-3</v>
      </c>
      <c r="F124" s="348">
        <f>IFERROR(VLOOKUP($B124,'Unit costs'!$B$86:$F$173,5,FALSE)*F94,"")</f>
        <v>2.9220542041054811E-3</v>
      </c>
    </row>
    <row r="125" spans="2:6" s="158" customFormat="1" ht="15.75" thickBot="1" x14ac:dyDescent="0.3">
      <c r="B125" s="242" t="str">
        <f>B95</f>
        <v>Needle Holders (box of 200)</v>
      </c>
      <c r="C125" s="348">
        <f>IFERROR(VLOOKUP(B125,'Unit costs'!$B$86:$F$173,5,FALSE)*C95,"")</f>
        <v>0.1231527093596055</v>
      </c>
      <c r="D125" s="348">
        <f>IFERROR(VLOOKUP(B125,'Unit costs'!$B$86:$F$173,5,FALSE)*D95,"")</f>
        <v>0.1231527093596055</v>
      </c>
      <c r="E125" s="348">
        <f>IFERROR(VLOOKUP($B125,'Unit costs'!$B$86:$F$173,5,FALSE)*E95,"")</f>
        <v>0.1231527093596055</v>
      </c>
      <c r="F125" s="348">
        <f>IFERROR(VLOOKUP($B125,'Unit costs'!$B$86:$F$173,5,FALSE)*F95,"")</f>
        <v>0.1231527093596055</v>
      </c>
    </row>
    <row r="126" spans="2:6" s="158" customFormat="1" ht="15.75" thickBot="1" x14ac:dyDescent="0.3">
      <c r="B126" s="242" t="str">
        <f t="shared" ref="B126:B150" si="4">B96</f>
        <v>Tourniquets (unit of 1)</v>
      </c>
      <c r="C126" s="348">
        <f>IFERROR(VLOOKUP(B126,'Unit costs'!$B$86:$F$173,5,FALSE)*C96,"")</f>
        <v>2.96E-6</v>
      </c>
      <c r="D126" s="348">
        <f>IFERROR(VLOOKUP(B126,'Unit costs'!$B$86:$F$173,5,FALSE)*D96,"")</f>
        <v>2.96E-6</v>
      </c>
      <c r="E126" s="348">
        <f>IFERROR(VLOOKUP($B126,'Unit costs'!$B$86:$F$173,5,FALSE)*E96,"")</f>
        <v>2.96E-6</v>
      </c>
      <c r="F126" s="348">
        <f>IFERROR(VLOOKUP($B126,'Unit costs'!$B$86:$F$173,5,FALSE)*F96,"")</f>
        <v>2.96E-6</v>
      </c>
    </row>
    <row r="127" spans="2:6" s="158" customFormat="1" ht="15.75" thickBot="1" x14ac:dyDescent="0.3">
      <c r="B127" s="242" t="str">
        <f t="shared" si="4"/>
        <v>Biohazard bags. (Red and black) (100 per case)</v>
      </c>
      <c r="C127" s="348">
        <f>IFERROR(VLOOKUP(B127,'Unit costs'!$B$86:$F$173,5,FALSE)*C97,"")</f>
        <v>8.7500000000000009E-6</v>
      </c>
      <c r="D127" s="348">
        <f>IFERROR(VLOOKUP(B127,'Unit costs'!$B$86:$F$173,5,FALSE)*D97,"")</f>
        <v>8.7500000000000009E-6</v>
      </c>
      <c r="E127" s="348">
        <f>IFERROR(VLOOKUP($B127,'Unit costs'!$B$86:$F$173,5,FALSE)*E97,"")</f>
        <v>8.7500000000000009E-6</v>
      </c>
      <c r="F127" s="348">
        <f>IFERROR(VLOOKUP($B127,'Unit costs'!$B$86:$F$173,5,FALSE)*F97,"")</f>
        <v>8.7500000000000009E-6</v>
      </c>
    </row>
    <row r="128" spans="2:6" s="158" customFormat="1" ht="15.75" thickBot="1" x14ac:dyDescent="0.3">
      <c r="B128" s="242" t="str">
        <f t="shared" si="4"/>
        <v>Biohazard containers (unit of 1)</v>
      </c>
      <c r="C128" s="348">
        <f>IFERROR(VLOOKUP(B128,'Unit costs'!$B$86:$F$173,5,FALSE)*C98,"")</f>
        <v>1.8692708333333333E-5</v>
      </c>
      <c r="D128" s="348">
        <f>IFERROR(VLOOKUP(B128,'Unit costs'!$B$86:$F$173,5,FALSE)*D98,"")</f>
        <v>1.8692708333333333E-5</v>
      </c>
      <c r="E128" s="348">
        <f>IFERROR(VLOOKUP($B128,'Unit costs'!$B$86:$F$173,5,FALSE)*E98,"")</f>
        <v>1.8692708333333333E-5</v>
      </c>
      <c r="F128" s="348">
        <f>IFERROR(VLOOKUP($B128,'Unit costs'!$B$86:$F$173,5,FALSE)*F98,"")</f>
        <v>1.8692708333333333E-5</v>
      </c>
    </row>
    <row r="129" spans="2:6" s="158" customFormat="1" ht="15.75" thickBot="1" x14ac:dyDescent="0.3">
      <c r="B129" s="242" t="str">
        <f t="shared" si="4"/>
        <v>Gloves (powder free) x 100 gloves</v>
      </c>
      <c r="C129" s="348">
        <f>IFERROR(VLOOKUP(B129,'Unit costs'!$B$86:$F$173,5,FALSE)*C99,"")</f>
        <v>0.31559999999999999</v>
      </c>
      <c r="D129" s="348">
        <f>IFERROR(VLOOKUP(B129,'Unit costs'!$B$86:$F$173,5,FALSE)*D99,"")</f>
        <v>0.31559999999999999</v>
      </c>
      <c r="E129" s="348">
        <f>IFERROR(VLOOKUP($B129,'Unit costs'!$B$86:$F$173,5,FALSE)*E99,"")</f>
        <v>0.31559999999999999</v>
      </c>
      <c r="F129" s="348">
        <f>IFERROR(VLOOKUP($B129,'Unit costs'!$B$86:$F$173,5,FALSE)*F99,"")</f>
        <v>0.31559999999999999</v>
      </c>
    </row>
    <row r="130" spans="2:6" s="158" customFormat="1" ht="15.75" thickBot="1" x14ac:dyDescent="0.3">
      <c r="B130" s="242" t="str">
        <f t="shared" si="4"/>
        <v>Laboratory coats (non-disposable) (Unit of 1)</v>
      </c>
      <c r="C130" s="348">
        <f>IFERROR(VLOOKUP(B130,'Unit costs'!$B$86:$F$173,5,FALSE)*C100,"")</f>
        <v>2.0643413925221296E-8</v>
      </c>
      <c r="D130" s="348">
        <f>IFERROR(VLOOKUP(B130,'Unit costs'!$B$86:$F$173,5,FALSE)*D100,"")</f>
        <v>2.0643413925221296E-8</v>
      </c>
      <c r="E130" s="348">
        <f>IFERROR(VLOOKUP($B130,'Unit costs'!$B$86:$F$173,5,FALSE)*E100,"")</f>
        <v>2.0643413925221296E-8</v>
      </c>
      <c r="F130" s="348">
        <f>IFERROR(VLOOKUP($B130,'Unit costs'!$B$86:$F$173,5,FALSE)*F100,"")</f>
        <v>2.0643413925221296E-8</v>
      </c>
    </row>
    <row r="131" spans="2:6" s="158" customFormat="1" ht="15.75" thickBot="1" x14ac:dyDescent="0.3">
      <c r="B131" s="242" t="str">
        <f t="shared" si="4"/>
        <v>EDTA tubes. (4ml from BD) (box of 100)</v>
      </c>
      <c r="C131" s="348">
        <f>IFERROR(VLOOKUP(B131,'Unit costs'!$B$86:$F$173,5,FALSE)*C101,"")</f>
        <v>0.19723865877712002</v>
      </c>
      <c r="D131" s="348">
        <f>IFERROR(VLOOKUP(B131,'Unit costs'!$B$86:$F$173,5,FALSE)*D101,"")</f>
        <v>0.19723865877712002</v>
      </c>
      <c r="E131" s="348">
        <f>IFERROR(VLOOKUP($B131,'Unit costs'!$B$86:$F$173,5,FALSE)*E101,"")</f>
        <v>0.19723865877712002</v>
      </c>
      <c r="F131" s="348">
        <f>IFERROR(VLOOKUP($B131,'Unit costs'!$B$86:$F$173,5,FALSE)*F101,"")</f>
        <v>0.19723865877712002</v>
      </c>
    </row>
    <row r="132" spans="2:6" s="158" customFormat="1" ht="15.75" thickBot="1" x14ac:dyDescent="0.3">
      <c r="B132" s="242" t="str">
        <f t="shared" si="4"/>
        <v>Alcohol swabs (box of 100)</v>
      </c>
      <c r="C132" s="348">
        <f>IFERROR(VLOOKUP(B132,'Unit costs'!$B$86:$F$173,5,FALSE)*C102,"")</f>
        <v>0.1</v>
      </c>
      <c r="D132" s="348">
        <f>IFERROR(VLOOKUP(B132,'Unit costs'!$B$86:$F$173,5,FALSE)*D102,"")</f>
        <v>0.1</v>
      </c>
      <c r="E132" s="348">
        <f>IFERROR(VLOOKUP($B132,'Unit costs'!$B$86:$F$173,5,FALSE)*E102,"")</f>
        <v>0.1</v>
      </c>
      <c r="F132" s="348">
        <f>IFERROR(VLOOKUP($B132,'Unit costs'!$B$86:$F$173,5,FALSE)*F102,"")</f>
        <v>0.1</v>
      </c>
    </row>
    <row r="133" spans="2:6" s="158" customFormat="1" ht="15.75" thickBot="1" x14ac:dyDescent="0.3">
      <c r="B133" s="242" t="str">
        <f t="shared" si="4"/>
        <v>Cotton (500 grams)</v>
      </c>
      <c r="C133" s="348">
        <f>IFERROR(VLOOKUP(B133,'Unit costs'!$B$86:$F$173,5,FALSE)*C103,"")</f>
        <v>2.8000000000000001E-2</v>
      </c>
      <c r="D133" s="348">
        <f>IFERROR(VLOOKUP(B133,'Unit costs'!$B$86:$F$173,5,FALSE)*D103,"")</f>
        <v>2.8000000000000001E-2</v>
      </c>
      <c r="E133" s="348">
        <f>IFERROR(VLOOKUP($B133,'Unit costs'!$B$86:$F$173,5,FALSE)*E103,"")</f>
        <v>2.8000000000000001E-2</v>
      </c>
      <c r="F133" s="348">
        <f>IFERROR(VLOOKUP($B133,'Unit costs'!$B$86:$F$173,5,FALSE)*F103,"")</f>
        <v>2.8000000000000001E-2</v>
      </c>
    </row>
    <row r="134" spans="2:6" s="158" customFormat="1" ht="15.75" thickBot="1" x14ac:dyDescent="0.3">
      <c r="B134" s="242" t="str">
        <f t="shared" si="4"/>
        <v>Soap, Pride Liquid 5L</v>
      </c>
      <c r="C134" s="348">
        <f>IFERROR(VLOOKUP(B134,'Unit costs'!$B$86:$F$173,5,FALSE)*C104,"")</f>
        <v>1.3022222222222222E-4</v>
      </c>
      <c r="D134" s="348">
        <f>IFERROR(VLOOKUP(B134,'Unit costs'!$B$86:$F$173,5,FALSE)*D104,"")</f>
        <v>1.3022222222222222E-4</v>
      </c>
      <c r="E134" s="348">
        <f>IFERROR(VLOOKUP($B134,'Unit costs'!$B$86:$F$173,5,FALSE)*E104,"")</f>
        <v>1.3022222222222222E-4</v>
      </c>
      <c r="F134" s="348">
        <f>IFERROR(VLOOKUP($B134,'Unit costs'!$B$86:$F$173,5,FALSE)*F104,"")</f>
        <v>1.3022222222222222E-4</v>
      </c>
    </row>
    <row r="135" spans="2:6" s="158" customFormat="1" ht="15.75" thickBot="1" x14ac:dyDescent="0.3">
      <c r="B135" s="242" t="str">
        <f t="shared" si="4"/>
        <v>Tape (pack of 4)</v>
      </c>
      <c r="C135" s="348">
        <f>IFERROR(VLOOKUP(B135,'Unit costs'!$B$86:$F$173,5,FALSE)*C105,"")</f>
        <v>3.1999999999999999E-5</v>
      </c>
      <c r="D135" s="348">
        <f>IFERROR(VLOOKUP(B135,'Unit costs'!$B$86:$F$173,5,FALSE)*D105,"")</f>
        <v>3.1999999999999999E-5</v>
      </c>
      <c r="E135" s="348">
        <f>IFERROR(VLOOKUP($B135,'Unit costs'!$B$86:$F$173,5,FALSE)*E105,"")</f>
        <v>3.1999999999999999E-5</v>
      </c>
      <c r="F135" s="348">
        <f>IFERROR(VLOOKUP($B135,'Unit costs'!$B$86:$F$173,5,FALSE)*F105,"")</f>
        <v>3.1999999999999999E-5</v>
      </c>
    </row>
    <row r="136" spans="2:6" s="158" customFormat="1" ht="15.75" thickBot="1" x14ac:dyDescent="0.3">
      <c r="B136" s="242" t="str">
        <f t="shared" si="4"/>
        <v>cryopen (pack of 5)</v>
      </c>
      <c r="C136" s="348">
        <f>IFERROR(VLOOKUP(B136,'Unit costs'!$B$86:$F$173,5,FALSE)*C106,"")</f>
        <v>1.232741617357E-6</v>
      </c>
      <c r="D136" s="348">
        <f>IFERROR(VLOOKUP(B136,'Unit costs'!$B$86:$F$173,5,FALSE)*D106,"")</f>
        <v>1.232741617357E-6</v>
      </c>
      <c r="E136" s="348">
        <f>IFERROR(VLOOKUP($B136,'Unit costs'!$B$86:$F$173,5,FALSE)*E106,"")</f>
        <v>1.232741617357E-6</v>
      </c>
      <c r="F136" s="348">
        <f>IFERROR(VLOOKUP($B136,'Unit costs'!$B$86:$F$173,5,FALSE)*F106,"")</f>
        <v>1.232741617357E-6</v>
      </c>
    </row>
    <row r="137" spans="2:6" s="158" customFormat="1" ht="15.75" thickBot="1" x14ac:dyDescent="0.3">
      <c r="B137" s="243">
        <f t="shared" si="4"/>
        <v>0</v>
      </c>
      <c r="C137" s="348" t="str">
        <f>IFERROR(VLOOKUP(B137,'Unit costs'!$B$86:$F$173,5,FALSE)*C107,"")</f>
        <v/>
      </c>
      <c r="D137" s="348" t="str">
        <f>IFERROR(VLOOKUP(B137,'Unit costs'!$B$86:$F$173,5,FALSE)*D107,"")</f>
        <v/>
      </c>
      <c r="E137" s="348" t="str">
        <f>IFERROR(VLOOKUP($B137,'Unit costs'!$B$86:$F$173,5,FALSE)*E107,"")</f>
        <v/>
      </c>
      <c r="F137" s="348" t="str">
        <f>IFERROR(VLOOKUP($B137,'Unit costs'!$B$86:$F$173,5,FALSE)*F107,"")</f>
        <v/>
      </c>
    </row>
    <row r="138" spans="2:6" s="158" customFormat="1" ht="15.75" thickBot="1" x14ac:dyDescent="0.3">
      <c r="B138" s="242">
        <f t="shared" si="4"/>
        <v>0</v>
      </c>
      <c r="C138" s="348" t="str">
        <f>IFERROR(VLOOKUP(B138,'Unit costs'!$B$86:$F$173,5,FALSE)*C108,"")</f>
        <v/>
      </c>
      <c r="D138" s="348" t="str">
        <f>IFERROR(VLOOKUP(B138,'Unit costs'!$B$86:$F$173,5,FALSE)*D108,"")</f>
        <v/>
      </c>
      <c r="E138" s="348" t="str">
        <f>IFERROR(VLOOKUP($B138,'Unit costs'!$B$86:$F$173,5,FALSE)*E108,"")</f>
        <v/>
      </c>
      <c r="F138" s="348" t="str">
        <f>IFERROR(VLOOKUP($B138,'Unit costs'!$B$86:$F$173,5,FALSE)*F108,"")</f>
        <v/>
      </c>
    </row>
    <row r="139" spans="2:6" s="158" customFormat="1" ht="15.75" thickBot="1" x14ac:dyDescent="0.3">
      <c r="B139" s="242">
        <f t="shared" si="4"/>
        <v>0</v>
      </c>
      <c r="C139" s="348" t="str">
        <f>IFERROR(VLOOKUP(B139,'Unit costs'!$B$86:$F$173,5,FALSE)*C109,"")</f>
        <v/>
      </c>
      <c r="D139" s="348" t="str">
        <f>IFERROR(VLOOKUP(B139,'Unit costs'!$B$86:$F$173,5,FALSE)*D109,"")</f>
        <v/>
      </c>
      <c r="E139" s="348" t="str">
        <f>IFERROR(VLOOKUP($B139,'Unit costs'!$B$86:$F$173,5,FALSE)*E109,"")</f>
        <v/>
      </c>
      <c r="F139" s="348" t="str">
        <f>IFERROR(VLOOKUP($B139,'Unit costs'!$B$86:$F$173,5,FALSE)*F109,"")</f>
        <v/>
      </c>
    </row>
    <row r="140" spans="2:6" s="158" customFormat="1" ht="15.75" thickBot="1" x14ac:dyDescent="0.3">
      <c r="B140" s="242">
        <f t="shared" si="4"/>
        <v>0</v>
      </c>
      <c r="C140" s="348" t="str">
        <f>IFERROR(VLOOKUP(B140,'Unit costs'!$B$86:$F$173,5,FALSE)*C110,"")</f>
        <v/>
      </c>
      <c r="D140" s="348" t="str">
        <f>IFERROR(VLOOKUP(B140,'Unit costs'!$B$86:$F$173,5,FALSE)*D110,"")</f>
        <v/>
      </c>
      <c r="E140" s="348" t="str">
        <f>IFERROR(VLOOKUP($B140,'Unit costs'!$B$86:$F$173,5,FALSE)*E110,"")</f>
        <v/>
      </c>
      <c r="F140" s="348" t="str">
        <f>IFERROR(VLOOKUP($B140,'Unit costs'!$B$86:$F$173,5,FALSE)*F110,"")</f>
        <v/>
      </c>
    </row>
    <row r="141" spans="2:6" s="158" customFormat="1" ht="15.75" thickBot="1" x14ac:dyDescent="0.3">
      <c r="B141" s="243">
        <f t="shared" si="4"/>
        <v>0</v>
      </c>
      <c r="C141" s="348" t="str">
        <f>IFERROR(VLOOKUP(B141,'Unit costs'!$B$86:$F$173,5,FALSE)*C111,"")</f>
        <v/>
      </c>
      <c r="D141" s="348" t="str">
        <f>IFERROR(VLOOKUP(B141,'Unit costs'!$B$86:$F$173,5,FALSE)*D111,"")</f>
        <v/>
      </c>
      <c r="E141" s="348" t="str">
        <f>IFERROR(VLOOKUP($B141,'Unit costs'!$B$86:$F$173,5,FALSE)*E111,"")</f>
        <v/>
      </c>
      <c r="F141" s="348" t="str">
        <f>IFERROR(VLOOKUP($B141,'Unit costs'!$B$86:$F$173,5,FALSE)*F111,"")</f>
        <v/>
      </c>
    </row>
    <row r="142" spans="2:6" s="158" customFormat="1" ht="15.75" thickBot="1" x14ac:dyDescent="0.3">
      <c r="B142" s="242">
        <f t="shared" si="4"/>
        <v>0</v>
      </c>
      <c r="C142" s="348" t="str">
        <f>IFERROR(VLOOKUP(B142,'Unit costs'!$B$86:$F$173,5,FALSE)*C112,"")</f>
        <v/>
      </c>
      <c r="D142" s="348" t="str">
        <f>IFERROR(VLOOKUP(B142,'Unit costs'!$B$86:$F$173,5,FALSE)*D112,"")</f>
        <v/>
      </c>
      <c r="E142" s="348" t="str">
        <f>IFERROR(VLOOKUP($B142,'Unit costs'!$B$86:$F$173,5,FALSE)*E112,"")</f>
        <v/>
      </c>
      <c r="F142" s="348" t="str">
        <f>IFERROR(VLOOKUP($B142,'Unit costs'!$B$86:$F$173,5,FALSE)*F112,"")</f>
        <v/>
      </c>
    </row>
    <row r="143" spans="2:6" s="158" customFormat="1" ht="15.75" thickBot="1" x14ac:dyDescent="0.3">
      <c r="B143" s="242">
        <f t="shared" si="4"/>
        <v>0</v>
      </c>
      <c r="C143" s="348" t="str">
        <f>IFERROR(VLOOKUP(B143,'Unit costs'!$B$86:$F$173,5,FALSE)*C113,"")</f>
        <v/>
      </c>
      <c r="D143" s="348" t="str">
        <f>IFERROR(VLOOKUP(B143,'Unit costs'!$B$86:$F$173,5,FALSE)*D113,"")</f>
        <v/>
      </c>
      <c r="E143" s="348" t="str">
        <f>IFERROR(VLOOKUP($B143,'Unit costs'!$B$86:$F$173,5,FALSE)*E113,"")</f>
        <v/>
      </c>
      <c r="F143" s="348" t="str">
        <f>IFERROR(VLOOKUP($B143,'Unit costs'!$B$86:$F$173,5,FALSE)*F113,"")</f>
        <v/>
      </c>
    </row>
    <row r="144" spans="2:6" s="158" customFormat="1" ht="15.75" thickBot="1" x14ac:dyDescent="0.3">
      <c r="B144" s="242">
        <f t="shared" si="4"/>
        <v>0</v>
      </c>
      <c r="C144" s="348" t="str">
        <f>IFERROR(VLOOKUP(B144,'Unit costs'!$B$86:$F$173,5,FALSE)*C114,"")</f>
        <v/>
      </c>
      <c r="D144" s="348" t="str">
        <f>IFERROR(VLOOKUP(B144,'Unit costs'!$B$86:$F$173,5,FALSE)*D114,"")</f>
        <v/>
      </c>
      <c r="E144" s="348" t="str">
        <f>IFERROR(VLOOKUP($B144,'Unit costs'!$B$86:$F$173,5,FALSE)*E114,"")</f>
        <v/>
      </c>
      <c r="F144" s="348" t="str">
        <f>IFERROR(VLOOKUP($B144,'Unit costs'!$B$86:$F$173,5,FALSE)*F114,"")</f>
        <v/>
      </c>
    </row>
    <row r="145" spans="2:13" s="158" customFormat="1" ht="15.75" thickBot="1" x14ac:dyDescent="0.3">
      <c r="B145" s="242">
        <f t="shared" si="4"/>
        <v>0</v>
      </c>
      <c r="C145" s="348" t="str">
        <f>IFERROR(VLOOKUP(B145,'Unit costs'!$B$86:$F$173,5,FALSE)*C115,"")</f>
        <v/>
      </c>
      <c r="D145" s="348" t="str">
        <f>IFERROR(VLOOKUP(B145,'Unit costs'!$B$86:$F$173,5,FALSE)*D115,"")</f>
        <v/>
      </c>
      <c r="E145" s="348" t="str">
        <f>IFERROR(VLOOKUP($B145,'Unit costs'!$B$86:$F$173,5,FALSE)*E115,"")</f>
        <v/>
      </c>
      <c r="F145" s="348" t="str">
        <f>IFERROR(VLOOKUP($B145,'Unit costs'!$B$86:$F$173,5,FALSE)*F115,"")</f>
        <v/>
      </c>
    </row>
    <row r="146" spans="2:13" s="158" customFormat="1" ht="15.75" thickBot="1" x14ac:dyDescent="0.3">
      <c r="B146" s="242" t="str">
        <f t="shared" si="4"/>
        <v>Other items</v>
      </c>
      <c r="C146" s="348" t="str">
        <f>IFERROR(VLOOKUP(B146,'Unit costs'!$B$86:$F$173,5,FALSE)*C116,"")</f>
        <v/>
      </c>
      <c r="D146" s="348" t="str">
        <f>IFERROR(VLOOKUP(B146,'Unit costs'!$B$86:$F$173,5,FALSE)*D116,"")</f>
        <v/>
      </c>
      <c r="E146" s="348" t="str">
        <f>IFERROR(VLOOKUP($B146,'Unit costs'!$B$86:$F$173,5,FALSE)*E116,"")</f>
        <v/>
      </c>
      <c r="F146" s="348" t="str">
        <f>IFERROR(VLOOKUP($B146,'Unit costs'!$B$86:$F$173,5,FALSE)*F116,"")</f>
        <v/>
      </c>
    </row>
    <row r="147" spans="2:13" s="158" customFormat="1" ht="15.75" thickBot="1" x14ac:dyDescent="0.3">
      <c r="B147" s="242" t="str">
        <f t="shared" si="4"/>
        <v>Other items</v>
      </c>
      <c r="C147" s="348" t="str">
        <f>IFERROR(VLOOKUP(B147,'Unit costs'!$B$86:$F$173,5,FALSE)*C117,"")</f>
        <v/>
      </c>
      <c r="D147" s="348" t="str">
        <f>IFERROR(VLOOKUP(B147,'Unit costs'!$B$86:$F$173,5,FALSE)*D117,"")</f>
        <v/>
      </c>
      <c r="E147" s="348" t="str">
        <f>IFERROR(VLOOKUP($B147,'Unit costs'!$B$86:$F$173,5,FALSE)*E117,"")</f>
        <v/>
      </c>
      <c r="F147" s="348" t="str">
        <f>IFERROR(VLOOKUP($B147,'Unit costs'!$B$86:$F$173,5,FALSE)*F117,"")</f>
        <v/>
      </c>
    </row>
    <row r="148" spans="2:13" s="158" customFormat="1" ht="15.75" thickBot="1" x14ac:dyDescent="0.3">
      <c r="B148" s="242" t="str">
        <f t="shared" si="4"/>
        <v>Other items</v>
      </c>
      <c r="C148" s="348" t="str">
        <f>IFERROR(VLOOKUP(B148,'Unit costs'!$B$86:$F$173,5,FALSE)*C118,"")</f>
        <v/>
      </c>
      <c r="D148" s="348" t="str">
        <f>IFERROR(VLOOKUP(B148,'Unit costs'!$B$86:$F$173,5,FALSE)*D118,"")</f>
        <v/>
      </c>
      <c r="E148" s="348" t="str">
        <f>IFERROR(VLOOKUP($B148,'Unit costs'!$B$86:$F$173,5,FALSE)*E118,"")</f>
        <v/>
      </c>
      <c r="F148" s="348" t="str">
        <f>IFERROR(VLOOKUP($B148,'Unit costs'!$B$86:$F$173,5,FALSE)*F118,"")</f>
        <v/>
      </c>
    </row>
    <row r="149" spans="2:13" s="158" customFormat="1" ht="15.75" thickBot="1" x14ac:dyDescent="0.3">
      <c r="B149" s="242" t="str">
        <f t="shared" si="4"/>
        <v>Other items</v>
      </c>
      <c r="C149" s="348" t="str">
        <f>IFERROR(VLOOKUP(B149,'Unit costs'!$B$86:$F$173,5,FALSE)*C119,"")</f>
        <v/>
      </c>
      <c r="D149" s="348" t="str">
        <f>IFERROR(VLOOKUP(B149,'Unit costs'!$B$86:$F$173,5,FALSE)*D119,"")</f>
        <v/>
      </c>
      <c r="E149" s="348" t="str">
        <f>IFERROR(VLOOKUP($B149,'Unit costs'!$B$86:$F$173,5,FALSE)*E119,"")</f>
        <v/>
      </c>
      <c r="F149" s="348" t="str">
        <f>IFERROR(VLOOKUP($B149,'Unit costs'!$B$86:$F$173,5,FALSE)*F119,"")</f>
        <v/>
      </c>
    </row>
    <row r="150" spans="2:13" s="158" customFormat="1" x14ac:dyDescent="0.25">
      <c r="B150" s="242" t="str">
        <f t="shared" si="4"/>
        <v>Other items</v>
      </c>
      <c r="C150" s="348" t="str">
        <f>IFERROR(VLOOKUP(B150,'Unit costs'!$B$86:$F$173,5,FALSE)*C120,"")</f>
        <v/>
      </c>
      <c r="D150" s="348" t="str">
        <f>IFERROR(VLOOKUP(B150,'Unit costs'!$B$86:$F$173,5,FALSE)*D120,"")</f>
        <v/>
      </c>
      <c r="E150" s="348" t="str">
        <f>IFERROR(VLOOKUP($B150,'Unit costs'!$B$86:$F$173,5,FALSE)*E120,"")</f>
        <v/>
      </c>
      <c r="F150" s="348" t="str">
        <f>IFERROR(VLOOKUP($B150,'Unit costs'!$B$86:$F$173,5,FALSE)*F120,"")</f>
        <v/>
      </c>
    </row>
    <row r="151" spans="2:13" s="158" customFormat="1" x14ac:dyDescent="0.25">
      <c r="B151" s="207"/>
      <c r="C151" s="207"/>
      <c r="D151" s="207"/>
      <c r="E151" s="207"/>
      <c r="F151" s="207"/>
      <c r="G151" s="207"/>
      <c r="H151" s="207"/>
      <c r="I151" s="207"/>
      <c r="J151" s="207"/>
      <c r="K151" s="207"/>
      <c r="L151" s="207"/>
    </row>
    <row r="152" spans="2:13" ht="7.5" customHeight="1" x14ac:dyDescent="0.25"/>
    <row r="153" spans="2:13" ht="21" customHeight="1" x14ac:dyDescent="0.25">
      <c r="B153" s="444" t="s">
        <v>75</v>
      </c>
      <c r="C153" s="444"/>
      <c r="D153" s="444"/>
      <c r="E153" s="444"/>
      <c r="F153" s="444"/>
      <c r="G153" s="444"/>
      <c r="H153" s="444"/>
      <c r="I153" s="444"/>
      <c r="J153" s="444"/>
      <c r="K153" s="444"/>
      <c r="L153" s="444"/>
      <c r="M153" s="164"/>
    </row>
    <row r="154" spans="2:13" s="158" customFormat="1" ht="15.75" thickBot="1" x14ac:dyDescent="0.3">
      <c r="B154" s="174"/>
      <c r="C154" s="174"/>
      <c r="D154" s="174"/>
      <c r="E154" s="174"/>
      <c r="F154" s="174"/>
      <c r="G154" s="174"/>
      <c r="H154" s="174"/>
      <c r="I154" s="174"/>
      <c r="J154" s="112"/>
      <c r="K154" s="112"/>
      <c r="L154" s="112"/>
    </row>
    <row r="155" spans="2:13" s="158" customFormat="1" ht="45" customHeight="1" thickBot="1" x14ac:dyDescent="0.3">
      <c r="B155" s="139" t="s">
        <v>97</v>
      </c>
      <c r="C155" s="152" t="str">
        <f>'Set up'!B18</f>
        <v>Abbott M2000 RealTime</v>
      </c>
      <c r="D155" s="152" t="str">
        <f>'Set up'!B19</f>
        <v>Abbott M2000 RealTime</v>
      </c>
      <c r="E155" s="152" t="str">
        <f>'Set up'!B20</f>
        <v>Roche COBAS Ampliprep/TaqMan 48</v>
      </c>
      <c r="F155" s="407" t="str">
        <f>'Set up'!B21</f>
        <v>Roche COBAS Ampliprep/TaqMan 48</v>
      </c>
    </row>
    <row r="156" spans="2:13" s="158" customFormat="1" x14ac:dyDescent="0.25">
      <c r="B156" s="244" t="s">
        <v>76</v>
      </c>
      <c r="C156" s="172" t="s">
        <v>530</v>
      </c>
      <c r="D156" s="172"/>
      <c r="E156" s="172"/>
      <c r="F156" s="172"/>
    </row>
    <row r="157" spans="2:13" s="158" customFormat="1" x14ac:dyDescent="0.25">
      <c r="B157" s="184" t="s">
        <v>77</v>
      </c>
      <c r="C157" s="144"/>
      <c r="D157" s="144"/>
      <c r="E157" s="144"/>
      <c r="F157" s="144"/>
    </row>
    <row r="158" spans="2:13" s="158" customFormat="1" x14ac:dyDescent="0.25">
      <c r="B158" s="184" t="s">
        <v>78</v>
      </c>
      <c r="C158" s="144"/>
      <c r="D158" s="144"/>
      <c r="E158" s="144"/>
      <c r="F158" s="144"/>
    </row>
    <row r="159" spans="2:13" s="158" customFormat="1" x14ac:dyDescent="0.25">
      <c r="B159" s="184" t="s">
        <v>79</v>
      </c>
      <c r="C159" s="144"/>
      <c r="D159" s="144"/>
      <c r="E159" s="144"/>
      <c r="F159" s="144"/>
    </row>
    <row r="160" spans="2:13" s="158" customFormat="1" x14ac:dyDescent="0.25">
      <c r="B160" s="184" t="s">
        <v>80</v>
      </c>
      <c r="C160" s="144"/>
      <c r="D160" s="144"/>
      <c r="E160" s="144"/>
      <c r="F160" s="144"/>
    </row>
    <row r="161" spans="2:12" s="158" customFormat="1" x14ac:dyDescent="0.25">
      <c r="B161" s="184" t="s">
        <v>81</v>
      </c>
      <c r="C161" s="144"/>
      <c r="D161" s="144"/>
      <c r="E161" s="144"/>
      <c r="F161" s="144"/>
    </row>
    <row r="162" spans="2:12" s="158" customFormat="1" x14ac:dyDescent="0.25">
      <c r="B162" s="184" t="s">
        <v>82</v>
      </c>
      <c r="C162" s="144"/>
      <c r="D162" s="144"/>
      <c r="E162" s="144"/>
      <c r="F162" s="144"/>
    </row>
    <row r="163" spans="2:12" s="158" customFormat="1" x14ac:dyDescent="0.25">
      <c r="B163" s="184" t="s">
        <v>83</v>
      </c>
      <c r="C163" s="144"/>
      <c r="D163" s="144"/>
      <c r="E163" s="144"/>
      <c r="F163" s="144"/>
    </row>
    <row r="164" spans="2:12" s="158" customFormat="1" x14ac:dyDescent="0.25">
      <c r="B164" s="184" t="s">
        <v>84</v>
      </c>
      <c r="C164" s="144"/>
      <c r="D164" s="144"/>
      <c r="E164" s="144"/>
      <c r="F164" s="144"/>
    </row>
    <row r="165" spans="2:12" s="158" customFormat="1" x14ac:dyDescent="0.25">
      <c r="B165" s="184" t="s">
        <v>85</v>
      </c>
      <c r="C165" s="144"/>
      <c r="D165" s="144"/>
      <c r="E165" s="144"/>
      <c r="F165" s="144"/>
    </row>
    <row r="166" spans="2:12" s="158" customFormat="1" x14ac:dyDescent="0.25"/>
    <row r="167" spans="2:12" s="158" customFormat="1" x14ac:dyDescent="0.25">
      <c r="B167" s="120"/>
      <c r="C167" s="120"/>
      <c r="D167" s="120"/>
      <c r="E167" s="120"/>
      <c r="F167" s="120"/>
      <c r="G167" s="120"/>
      <c r="H167" s="120"/>
      <c r="I167" s="120"/>
      <c r="J167" s="120"/>
      <c r="K167" s="120"/>
      <c r="L167" s="120"/>
    </row>
  </sheetData>
  <sheetProtection password="C441" sheet="1" objects="1" scenarios="1"/>
  <mergeCells count="15">
    <mergeCell ref="B122:F122"/>
    <mergeCell ref="B153:L153"/>
    <mergeCell ref="B1:D1"/>
    <mergeCell ref="B2:D2"/>
    <mergeCell ref="B3:D3"/>
    <mergeCell ref="B4:D4"/>
    <mergeCell ref="B6:G6"/>
    <mergeCell ref="B13:L13"/>
    <mergeCell ref="B51:L51"/>
    <mergeCell ref="B53:F53"/>
    <mergeCell ref="B71:F71"/>
    <mergeCell ref="B89:L89"/>
    <mergeCell ref="B91:G91"/>
    <mergeCell ref="E1:G1"/>
    <mergeCell ref="H15:N15"/>
  </mergeCells>
  <dataValidations count="3">
    <dataValidation type="list" allowBlank="1" showInputMessage="1" showErrorMessage="1" sqref="WVR983084 C65617:I65617 IY65618:JE65618 SU65618:TA65618 ACQ65618:ACW65618 AMM65618:AMS65618 AWI65618:AWO65618 BGE65618:BGK65618 BQA65618:BQG65618 BZW65618:CAC65618 CJS65618:CJY65618 CTO65618:CTU65618 DDK65618:DDQ65618 DNG65618:DNM65618 DXC65618:DXI65618 EGY65618:EHE65618 EQU65618:ERA65618 FAQ65618:FAW65618 FKM65618:FKS65618 FUI65618:FUO65618 GEE65618:GEK65618 GOA65618:GOG65618 GXW65618:GYC65618 HHS65618:HHY65618 HRO65618:HRU65618 IBK65618:IBQ65618 ILG65618:ILM65618 IVC65618:IVI65618 JEY65618:JFE65618 JOU65618:JPA65618 JYQ65618:JYW65618 KIM65618:KIS65618 KSI65618:KSO65618 LCE65618:LCK65618 LMA65618:LMG65618 LVW65618:LWC65618 MFS65618:MFY65618 MPO65618:MPU65618 MZK65618:MZQ65618 NJG65618:NJM65618 NTC65618:NTI65618 OCY65618:ODE65618 OMU65618:ONA65618 OWQ65618:OWW65618 PGM65618:PGS65618 PQI65618:PQO65618 QAE65618:QAK65618 QKA65618:QKG65618 QTW65618:QUC65618 RDS65618:RDY65618 RNO65618:RNU65618 RXK65618:RXQ65618 SHG65618:SHM65618 SRC65618:SRI65618 TAY65618:TBE65618 TKU65618:TLA65618 TUQ65618:TUW65618 UEM65618:UES65618 UOI65618:UOO65618 UYE65618:UYK65618 VIA65618:VIG65618 VRW65618:VSC65618 WBS65618:WBY65618 WLO65618:WLU65618 WVK65618:WVQ65618 C131153:I131153 IY131154:JE131154 SU131154:TA131154 ACQ131154:ACW131154 AMM131154:AMS131154 AWI131154:AWO131154 BGE131154:BGK131154 BQA131154:BQG131154 BZW131154:CAC131154 CJS131154:CJY131154 CTO131154:CTU131154 DDK131154:DDQ131154 DNG131154:DNM131154 DXC131154:DXI131154 EGY131154:EHE131154 EQU131154:ERA131154 FAQ131154:FAW131154 FKM131154:FKS131154 FUI131154:FUO131154 GEE131154:GEK131154 GOA131154:GOG131154 GXW131154:GYC131154 HHS131154:HHY131154 HRO131154:HRU131154 IBK131154:IBQ131154 ILG131154:ILM131154 IVC131154:IVI131154 JEY131154:JFE131154 JOU131154:JPA131154 JYQ131154:JYW131154 KIM131154:KIS131154 KSI131154:KSO131154 LCE131154:LCK131154 LMA131154:LMG131154 LVW131154:LWC131154 MFS131154:MFY131154 MPO131154:MPU131154 MZK131154:MZQ131154 NJG131154:NJM131154 NTC131154:NTI131154 OCY131154:ODE131154 OMU131154:ONA131154 OWQ131154:OWW131154 PGM131154:PGS131154 PQI131154:PQO131154 QAE131154:QAK131154 QKA131154:QKG131154 QTW131154:QUC131154 RDS131154:RDY131154 RNO131154:RNU131154 RXK131154:RXQ131154 SHG131154:SHM131154 SRC131154:SRI131154 TAY131154:TBE131154 TKU131154:TLA131154 TUQ131154:TUW131154 UEM131154:UES131154 UOI131154:UOO131154 UYE131154:UYK131154 VIA131154:VIG131154 VRW131154:VSC131154 WBS131154:WBY131154 WLO131154:WLU131154 WVK131154:WVQ131154 C196689:I196689 IY196690:JE196690 SU196690:TA196690 ACQ196690:ACW196690 AMM196690:AMS196690 AWI196690:AWO196690 BGE196690:BGK196690 BQA196690:BQG196690 BZW196690:CAC196690 CJS196690:CJY196690 CTO196690:CTU196690 DDK196690:DDQ196690 DNG196690:DNM196690 DXC196690:DXI196690 EGY196690:EHE196690 EQU196690:ERA196690 FAQ196690:FAW196690 FKM196690:FKS196690 FUI196690:FUO196690 GEE196690:GEK196690 GOA196690:GOG196690 GXW196690:GYC196690 HHS196690:HHY196690 HRO196690:HRU196690 IBK196690:IBQ196690 ILG196690:ILM196690 IVC196690:IVI196690 JEY196690:JFE196690 JOU196690:JPA196690 JYQ196690:JYW196690 KIM196690:KIS196690 KSI196690:KSO196690 LCE196690:LCK196690 LMA196690:LMG196690 LVW196690:LWC196690 MFS196690:MFY196690 MPO196690:MPU196690 MZK196690:MZQ196690 NJG196690:NJM196690 NTC196690:NTI196690 OCY196690:ODE196690 OMU196690:ONA196690 OWQ196690:OWW196690 PGM196690:PGS196690 PQI196690:PQO196690 QAE196690:QAK196690 QKA196690:QKG196690 QTW196690:QUC196690 RDS196690:RDY196690 RNO196690:RNU196690 RXK196690:RXQ196690 SHG196690:SHM196690 SRC196690:SRI196690 TAY196690:TBE196690 TKU196690:TLA196690 TUQ196690:TUW196690 UEM196690:UES196690 UOI196690:UOO196690 UYE196690:UYK196690 VIA196690:VIG196690 VRW196690:VSC196690 WBS196690:WBY196690 WLO196690:WLU196690 WVK196690:WVQ196690 C262225:I262225 IY262226:JE262226 SU262226:TA262226 ACQ262226:ACW262226 AMM262226:AMS262226 AWI262226:AWO262226 BGE262226:BGK262226 BQA262226:BQG262226 BZW262226:CAC262226 CJS262226:CJY262226 CTO262226:CTU262226 DDK262226:DDQ262226 DNG262226:DNM262226 DXC262226:DXI262226 EGY262226:EHE262226 EQU262226:ERA262226 FAQ262226:FAW262226 FKM262226:FKS262226 FUI262226:FUO262226 GEE262226:GEK262226 GOA262226:GOG262226 GXW262226:GYC262226 HHS262226:HHY262226 HRO262226:HRU262226 IBK262226:IBQ262226 ILG262226:ILM262226 IVC262226:IVI262226 JEY262226:JFE262226 JOU262226:JPA262226 JYQ262226:JYW262226 KIM262226:KIS262226 KSI262226:KSO262226 LCE262226:LCK262226 LMA262226:LMG262226 LVW262226:LWC262226 MFS262226:MFY262226 MPO262226:MPU262226 MZK262226:MZQ262226 NJG262226:NJM262226 NTC262226:NTI262226 OCY262226:ODE262226 OMU262226:ONA262226 OWQ262226:OWW262226 PGM262226:PGS262226 PQI262226:PQO262226 QAE262226:QAK262226 QKA262226:QKG262226 QTW262226:QUC262226 RDS262226:RDY262226 RNO262226:RNU262226 RXK262226:RXQ262226 SHG262226:SHM262226 SRC262226:SRI262226 TAY262226:TBE262226 TKU262226:TLA262226 TUQ262226:TUW262226 UEM262226:UES262226 UOI262226:UOO262226 UYE262226:UYK262226 VIA262226:VIG262226 VRW262226:VSC262226 WBS262226:WBY262226 WLO262226:WLU262226 WVK262226:WVQ262226 C327761:I327761 IY327762:JE327762 SU327762:TA327762 ACQ327762:ACW327762 AMM327762:AMS327762 AWI327762:AWO327762 BGE327762:BGK327762 BQA327762:BQG327762 BZW327762:CAC327762 CJS327762:CJY327762 CTO327762:CTU327762 DDK327762:DDQ327762 DNG327762:DNM327762 DXC327762:DXI327762 EGY327762:EHE327762 EQU327762:ERA327762 FAQ327762:FAW327762 FKM327762:FKS327762 FUI327762:FUO327762 GEE327762:GEK327762 GOA327762:GOG327762 GXW327762:GYC327762 HHS327762:HHY327762 HRO327762:HRU327762 IBK327762:IBQ327762 ILG327762:ILM327762 IVC327762:IVI327762 JEY327762:JFE327762 JOU327762:JPA327762 JYQ327762:JYW327762 KIM327762:KIS327762 KSI327762:KSO327762 LCE327762:LCK327762 LMA327762:LMG327762 LVW327762:LWC327762 MFS327762:MFY327762 MPO327762:MPU327762 MZK327762:MZQ327762 NJG327762:NJM327762 NTC327762:NTI327762 OCY327762:ODE327762 OMU327762:ONA327762 OWQ327762:OWW327762 PGM327762:PGS327762 PQI327762:PQO327762 QAE327762:QAK327762 QKA327762:QKG327762 QTW327762:QUC327762 RDS327762:RDY327762 RNO327762:RNU327762 RXK327762:RXQ327762 SHG327762:SHM327762 SRC327762:SRI327762 TAY327762:TBE327762 TKU327762:TLA327762 TUQ327762:TUW327762 UEM327762:UES327762 UOI327762:UOO327762 UYE327762:UYK327762 VIA327762:VIG327762 VRW327762:VSC327762 WBS327762:WBY327762 WLO327762:WLU327762 WVK327762:WVQ327762 C393297:I393297 IY393298:JE393298 SU393298:TA393298 ACQ393298:ACW393298 AMM393298:AMS393298 AWI393298:AWO393298 BGE393298:BGK393298 BQA393298:BQG393298 BZW393298:CAC393298 CJS393298:CJY393298 CTO393298:CTU393298 DDK393298:DDQ393298 DNG393298:DNM393298 DXC393298:DXI393298 EGY393298:EHE393298 EQU393298:ERA393298 FAQ393298:FAW393298 FKM393298:FKS393298 FUI393298:FUO393298 GEE393298:GEK393298 GOA393298:GOG393298 GXW393298:GYC393298 HHS393298:HHY393298 HRO393298:HRU393298 IBK393298:IBQ393298 ILG393298:ILM393298 IVC393298:IVI393298 JEY393298:JFE393298 JOU393298:JPA393298 JYQ393298:JYW393298 KIM393298:KIS393298 KSI393298:KSO393298 LCE393298:LCK393298 LMA393298:LMG393298 LVW393298:LWC393298 MFS393298:MFY393298 MPO393298:MPU393298 MZK393298:MZQ393298 NJG393298:NJM393298 NTC393298:NTI393298 OCY393298:ODE393298 OMU393298:ONA393298 OWQ393298:OWW393298 PGM393298:PGS393298 PQI393298:PQO393298 QAE393298:QAK393298 QKA393298:QKG393298 QTW393298:QUC393298 RDS393298:RDY393298 RNO393298:RNU393298 RXK393298:RXQ393298 SHG393298:SHM393298 SRC393298:SRI393298 TAY393298:TBE393298 TKU393298:TLA393298 TUQ393298:TUW393298 UEM393298:UES393298 UOI393298:UOO393298 UYE393298:UYK393298 VIA393298:VIG393298 VRW393298:VSC393298 WBS393298:WBY393298 WLO393298:WLU393298 WVK393298:WVQ393298 C458833:I458833 IY458834:JE458834 SU458834:TA458834 ACQ458834:ACW458834 AMM458834:AMS458834 AWI458834:AWO458834 BGE458834:BGK458834 BQA458834:BQG458834 BZW458834:CAC458834 CJS458834:CJY458834 CTO458834:CTU458834 DDK458834:DDQ458834 DNG458834:DNM458834 DXC458834:DXI458834 EGY458834:EHE458834 EQU458834:ERA458834 FAQ458834:FAW458834 FKM458834:FKS458834 FUI458834:FUO458834 GEE458834:GEK458834 GOA458834:GOG458834 GXW458834:GYC458834 HHS458834:HHY458834 HRO458834:HRU458834 IBK458834:IBQ458834 ILG458834:ILM458834 IVC458834:IVI458834 JEY458834:JFE458834 JOU458834:JPA458834 JYQ458834:JYW458834 KIM458834:KIS458834 KSI458834:KSO458834 LCE458834:LCK458834 LMA458834:LMG458834 LVW458834:LWC458834 MFS458834:MFY458834 MPO458834:MPU458834 MZK458834:MZQ458834 NJG458834:NJM458834 NTC458834:NTI458834 OCY458834:ODE458834 OMU458834:ONA458834 OWQ458834:OWW458834 PGM458834:PGS458834 PQI458834:PQO458834 QAE458834:QAK458834 QKA458834:QKG458834 QTW458834:QUC458834 RDS458834:RDY458834 RNO458834:RNU458834 RXK458834:RXQ458834 SHG458834:SHM458834 SRC458834:SRI458834 TAY458834:TBE458834 TKU458834:TLA458834 TUQ458834:TUW458834 UEM458834:UES458834 UOI458834:UOO458834 UYE458834:UYK458834 VIA458834:VIG458834 VRW458834:VSC458834 WBS458834:WBY458834 WLO458834:WLU458834 WVK458834:WVQ458834 C524369:I524369 IY524370:JE524370 SU524370:TA524370 ACQ524370:ACW524370 AMM524370:AMS524370 AWI524370:AWO524370 BGE524370:BGK524370 BQA524370:BQG524370 BZW524370:CAC524370 CJS524370:CJY524370 CTO524370:CTU524370 DDK524370:DDQ524370 DNG524370:DNM524370 DXC524370:DXI524370 EGY524370:EHE524370 EQU524370:ERA524370 FAQ524370:FAW524370 FKM524370:FKS524370 FUI524370:FUO524370 GEE524370:GEK524370 GOA524370:GOG524370 GXW524370:GYC524370 HHS524370:HHY524370 HRO524370:HRU524370 IBK524370:IBQ524370 ILG524370:ILM524370 IVC524370:IVI524370 JEY524370:JFE524370 JOU524370:JPA524370 JYQ524370:JYW524370 KIM524370:KIS524370 KSI524370:KSO524370 LCE524370:LCK524370 LMA524370:LMG524370 LVW524370:LWC524370 MFS524370:MFY524370 MPO524370:MPU524370 MZK524370:MZQ524370 NJG524370:NJM524370 NTC524370:NTI524370 OCY524370:ODE524370 OMU524370:ONA524370 OWQ524370:OWW524370 PGM524370:PGS524370 PQI524370:PQO524370 QAE524370:QAK524370 QKA524370:QKG524370 QTW524370:QUC524370 RDS524370:RDY524370 RNO524370:RNU524370 RXK524370:RXQ524370 SHG524370:SHM524370 SRC524370:SRI524370 TAY524370:TBE524370 TKU524370:TLA524370 TUQ524370:TUW524370 UEM524370:UES524370 UOI524370:UOO524370 UYE524370:UYK524370 VIA524370:VIG524370 VRW524370:VSC524370 WBS524370:WBY524370 WLO524370:WLU524370 WVK524370:WVQ524370 C589905:I589905 IY589906:JE589906 SU589906:TA589906 ACQ589906:ACW589906 AMM589906:AMS589906 AWI589906:AWO589906 BGE589906:BGK589906 BQA589906:BQG589906 BZW589906:CAC589906 CJS589906:CJY589906 CTO589906:CTU589906 DDK589906:DDQ589906 DNG589906:DNM589906 DXC589906:DXI589906 EGY589906:EHE589906 EQU589906:ERA589906 FAQ589906:FAW589906 FKM589906:FKS589906 FUI589906:FUO589906 GEE589906:GEK589906 GOA589906:GOG589906 GXW589906:GYC589906 HHS589906:HHY589906 HRO589906:HRU589906 IBK589906:IBQ589906 ILG589906:ILM589906 IVC589906:IVI589906 JEY589906:JFE589906 JOU589906:JPA589906 JYQ589906:JYW589906 KIM589906:KIS589906 KSI589906:KSO589906 LCE589906:LCK589906 LMA589906:LMG589906 LVW589906:LWC589906 MFS589906:MFY589906 MPO589906:MPU589906 MZK589906:MZQ589906 NJG589906:NJM589906 NTC589906:NTI589906 OCY589906:ODE589906 OMU589906:ONA589906 OWQ589906:OWW589906 PGM589906:PGS589906 PQI589906:PQO589906 QAE589906:QAK589906 QKA589906:QKG589906 QTW589906:QUC589906 RDS589906:RDY589906 RNO589906:RNU589906 RXK589906:RXQ589906 SHG589906:SHM589906 SRC589906:SRI589906 TAY589906:TBE589906 TKU589906:TLA589906 TUQ589906:TUW589906 UEM589906:UES589906 UOI589906:UOO589906 UYE589906:UYK589906 VIA589906:VIG589906 VRW589906:VSC589906 WBS589906:WBY589906 WLO589906:WLU589906 WVK589906:WVQ589906 C655441:I655441 IY655442:JE655442 SU655442:TA655442 ACQ655442:ACW655442 AMM655442:AMS655442 AWI655442:AWO655442 BGE655442:BGK655442 BQA655442:BQG655442 BZW655442:CAC655442 CJS655442:CJY655442 CTO655442:CTU655442 DDK655442:DDQ655442 DNG655442:DNM655442 DXC655442:DXI655442 EGY655442:EHE655442 EQU655442:ERA655442 FAQ655442:FAW655442 FKM655442:FKS655442 FUI655442:FUO655442 GEE655442:GEK655442 GOA655442:GOG655442 GXW655442:GYC655442 HHS655442:HHY655442 HRO655442:HRU655442 IBK655442:IBQ655442 ILG655442:ILM655442 IVC655442:IVI655442 JEY655442:JFE655442 JOU655442:JPA655442 JYQ655442:JYW655442 KIM655442:KIS655442 KSI655442:KSO655442 LCE655442:LCK655442 LMA655442:LMG655442 LVW655442:LWC655442 MFS655442:MFY655442 MPO655442:MPU655442 MZK655442:MZQ655442 NJG655442:NJM655442 NTC655442:NTI655442 OCY655442:ODE655442 OMU655442:ONA655442 OWQ655442:OWW655442 PGM655442:PGS655442 PQI655442:PQO655442 QAE655442:QAK655442 QKA655442:QKG655442 QTW655442:QUC655442 RDS655442:RDY655442 RNO655442:RNU655442 RXK655442:RXQ655442 SHG655442:SHM655442 SRC655442:SRI655442 TAY655442:TBE655442 TKU655442:TLA655442 TUQ655442:TUW655442 UEM655442:UES655442 UOI655442:UOO655442 UYE655442:UYK655442 VIA655442:VIG655442 VRW655442:VSC655442 WBS655442:WBY655442 WLO655442:WLU655442 WVK655442:WVQ655442 C720977:I720977 IY720978:JE720978 SU720978:TA720978 ACQ720978:ACW720978 AMM720978:AMS720978 AWI720978:AWO720978 BGE720978:BGK720978 BQA720978:BQG720978 BZW720978:CAC720978 CJS720978:CJY720978 CTO720978:CTU720978 DDK720978:DDQ720978 DNG720978:DNM720978 DXC720978:DXI720978 EGY720978:EHE720978 EQU720978:ERA720978 FAQ720978:FAW720978 FKM720978:FKS720978 FUI720978:FUO720978 GEE720978:GEK720978 GOA720978:GOG720978 GXW720978:GYC720978 HHS720978:HHY720978 HRO720978:HRU720978 IBK720978:IBQ720978 ILG720978:ILM720978 IVC720978:IVI720978 JEY720978:JFE720978 JOU720978:JPA720978 JYQ720978:JYW720978 KIM720978:KIS720978 KSI720978:KSO720978 LCE720978:LCK720978 LMA720978:LMG720978 LVW720978:LWC720978 MFS720978:MFY720978 MPO720978:MPU720978 MZK720978:MZQ720978 NJG720978:NJM720978 NTC720978:NTI720978 OCY720978:ODE720978 OMU720978:ONA720978 OWQ720978:OWW720978 PGM720978:PGS720978 PQI720978:PQO720978 QAE720978:QAK720978 QKA720978:QKG720978 QTW720978:QUC720978 RDS720978:RDY720978 RNO720978:RNU720978 RXK720978:RXQ720978 SHG720978:SHM720978 SRC720978:SRI720978 TAY720978:TBE720978 TKU720978:TLA720978 TUQ720978:TUW720978 UEM720978:UES720978 UOI720978:UOO720978 UYE720978:UYK720978 VIA720978:VIG720978 VRW720978:VSC720978 WBS720978:WBY720978 WLO720978:WLU720978 WVK720978:WVQ720978 C786513:I786513 IY786514:JE786514 SU786514:TA786514 ACQ786514:ACW786514 AMM786514:AMS786514 AWI786514:AWO786514 BGE786514:BGK786514 BQA786514:BQG786514 BZW786514:CAC786514 CJS786514:CJY786514 CTO786514:CTU786514 DDK786514:DDQ786514 DNG786514:DNM786514 DXC786514:DXI786514 EGY786514:EHE786514 EQU786514:ERA786514 FAQ786514:FAW786514 FKM786514:FKS786514 FUI786514:FUO786514 GEE786514:GEK786514 GOA786514:GOG786514 GXW786514:GYC786514 HHS786514:HHY786514 HRO786514:HRU786514 IBK786514:IBQ786514 ILG786514:ILM786514 IVC786514:IVI786514 JEY786514:JFE786514 JOU786514:JPA786514 JYQ786514:JYW786514 KIM786514:KIS786514 KSI786514:KSO786514 LCE786514:LCK786514 LMA786514:LMG786514 LVW786514:LWC786514 MFS786514:MFY786514 MPO786514:MPU786514 MZK786514:MZQ786514 NJG786514:NJM786514 NTC786514:NTI786514 OCY786514:ODE786514 OMU786514:ONA786514 OWQ786514:OWW786514 PGM786514:PGS786514 PQI786514:PQO786514 QAE786514:QAK786514 QKA786514:QKG786514 QTW786514:QUC786514 RDS786514:RDY786514 RNO786514:RNU786514 RXK786514:RXQ786514 SHG786514:SHM786514 SRC786514:SRI786514 TAY786514:TBE786514 TKU786514:TLA786514 TUQ786514:TUW786514 UEM786514:UES786514 UOI786514:UOO786514 UYE786514:UYK786514 VIA786514:VIG786514 VRW786514:VSC786514 WBS786514:WBY786514 WLO786514:WLU786514 WVK786514:WVQ786514 C852049:I852049 IY852050:JE852050 SU852050:TA852050 ACQ852050:ACW852050 AMM852050:AMS852050 AWI852050:AWO852050 BGE852050:BGK852050 BQA852050:BQG852050 BZW852050:CAC852050 CJS852050:CJY852050 CTO852050:CTU852050 DDK852050:DDQ852050 DNG852050:DNM852050 DXC852050:DXI852050 EGY852050:EHE852050 EQU852050:ERA852050 FAQ852050:FAW852050 FKM852050:FKS852050 FUI852050:FUO852050 GEE852050:GEK852050 GOA852050:GOG852050 GXW852050:GYC852050 HHS852050:HHY852050 HRO852050:HRU852050 IBK852050:IBQ852050 ILG852050:ILM852050 IVC852050:IVI852050 JEY852050:JFE852050 JOU852050:JPA852050 JYQ852050:JYW852050 KIM852050:KIS852050 KSI852050:KSO852050 LCE852050:LCK852050 LMA852050:LMG852050 LVW852050:LWC852050 MFS852050:MFY852050 MPO852050:MPU852050 MZK852050:MZQ852050 NJG852050:NJM852050 NTC852050:NTI852050 OCY852050:ODE852050 OMU852050:ONA852050 OWQ852050:OWW852050 PGM852050:PGS852050 PQI852050:PQO852050 QAE852050:QAK852050 QKA852050:QKG852050 QTW852050:QUC852050 RDS852050:RDY852050 RNO852050:RNU852050 RXK852050:RXQ852050 SHG852050:SHM852050 SRC852050:SRI852050 TAY852050:TBE852050 TKU852050:TLA852050 TUQ852050:TUW852050 UEM852050:UES852050 UOI852050:UOO852050 UYE852050:UYK852050 VIA852050:VIG852050 VRW852050:VSC852050 WBS852050:WBY852050 WLO852050:WLU852050 WVK852050:WVQ852050 C917585:I917585 IY917586:JE917586 SU917586:TA917586 ACQ917586:ACW917586 AMM917586:AMS917586 AWI917586:AWO917586 BGE917586:BGK917586 BQA917586:BQG917586 BZW917586:CAC917586 CJS917586:CJY917586 CTO917586:CTU917586 DDK917586:DDQ917586 DNG917586:DNM917586 DXC917586:DXI917586 EGY917586:EHE917586 EQU917586:ERA917586 FAQ917586:FAW917586 FKM917586:FKS917586 FUI917586:FUO917586 GEE917586:GEK917586 GOA917586:GOG917586 GXW917586:GYC917586 HHS917586:HHY917586 HRO917586:HRU917586 IBK917586:IBQ917586 ILG917586:ILM917586 IVC917586:IVI917586 JEY917586:JFE917586 JOU917586:JPA917586 JYQ917586:JYW917586 KIM917586:KIS917586 KSI917586:KSO917586 LCE917586:LCK917586 LMA917586:LMG917586 LVW917586:LWC917586 MFS917586:MFY917586 MPO917586:MPU917586 MZK917586:MZQ917586 NJG917586:NJM917586 NTC917586:NTI917586 OCY917586:ODE917586 OMU917586:ONA917586 OWQ917586:OWW917586 PGM917586:PGS917586 PQI917586:PQO917586 QAE917586:QAK917586 QKA917586:QKG917586 QTW917586:QUC917586 RDS917586:RDY917586 RNO917586:RNU917586 RXK917586:RXQ917586 SHG917586:SHM917586 SRC917586:SRI917586 TAY917586:TBE917586 TKU917586:TLA917586 TUQ917586:TUW917586 UEM917586:UES917586 UOI917586:UOO917586 UYE917586:UYK917586 VIA917586:VIG917586 VRW917586:VSC917586 WBS917586:WBY917586 WLO917586:WLU917586 WVK917586:WVQ917586 C983121:I983121 IY983122:JE983122 SU983122:TA983122 ACQ983122:ACW983122 AMM983122:AMS983122 AWI983122:AWO983122 BGE983122:BGK983122 BQA983122:BQG983122 BZW983122:CAC983122 CJS983122:CJY983122 CTO983122:CTU983122 DDK983122:DDQ983122 DNG983122:DNM983122 DXC983122:DXI983122 EGY983122:EHE983122 EQU983122:ERA983122 FAQ983122:FAW983122 FKM983122:FKS983122 FUI983122:FUO983122 GEE983122:GEK983122 GOA983122:GOG983122 GXW983122:GYC983122 HHS983122:HHY983122 HRO983122:HRU983122 IBK983122:IBQ983122 ILG983122:ILM983122 IVC983122:IVI983122 JEY983122:JFE983122 JOU983122:JPA983122 JYQ983122:JYW983122 KIM983122:KIS983122 KSI983122:KSO983122 LCE983122:LCK983122 LMA983122:LMG983122 LVW983122:LWC983122 MFS983122:MFY983122 MPO983122:MPU983122 MZK983122:MZQ983122 NJG983122:NJM983122 NTC983122:NTI983122 OCY983122:ODE983122 OMU983122:ONA983122 OWQ983122:OWW983122 PGM983122:PGS983122 PQI983122:PQO983122 QAE983122:QAK983122 QKA983122:QKG983122 QTW983122:QUC983122 RDS983122:RDY983122 RNO983122:RNU983122 RXK983122:RXQ983122 SHG983122:SHM983122 SRC983122:SRI983122 TAY983122:TBE983122 TKU983122:TLA983122 TUQ983122:TUW983122 UEM983122:UES983122 UOI983122:UOO983122 UYE983122:UYK983122 VIA983122:VIG983122 VRW983122:VSC983122 WBS983122:WBY983122 WLO983122:WLU983122 WVK983122:WVQ983122 WLV983084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J65579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5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1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7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3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59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5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1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7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3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39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5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1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7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3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formula1>Visits</formula1>
    </dataValidation>
    <dataValidation type="list" allowBlank="1" showInputMessage="1" showErrorMessage="1" sqref="WVK983084:WVQ983084 IO16:IU16 SK16:SQ16 ACG16:ACM16 AMC16:AMI16 AVY16:AWE16 BFU16:BGA16 BPQ16:BPW16 BZM16:BZS16 CJI16:CJO16 CTE16:CTK16 DDA16:DDG16 DMW16:DNC16 DWS16:DWY16 EGO16:EGU16 EQK16:EQQ16 FAG16:FAM16 FKC16:FKI16 FTY16:FUE16 GDU16:GEA16 GNQ16:GNW16 GXM16:GXS16 HHI16:HHO16 HRE16:HRK16 IBA16:IBG16 IKW16:ILC16 IUS16:IUY16 JEO16:JEU16 JOK16:JOQ16 JYG16:JYM16 KIC16:KII16 KRY16:KSE16 LBU16:LCA16 LLQ16:LLW16 LVM16:LVS16 MFI16:MFO16 MPE16:MPK16 MZA16:MZG16 NIW16:NJC16 NSS16:NSY16 OCO16:OCU16 OMK16:OMQ16 OWG16:OWM16 PGC16:PGI16 PPY16:PQE16 PZU16:QAA16 QJQ16:QJW16 QTM16:QTS16 RDI16:RDO16 RNE16:RNK16 RXA16:RXG16 SGW16:SHC16 SQS16:SQY16 TAO16:TAU16 TKK16:TKQ16 TUG16:TUM16 UEC16:UEI16 UNY16:UOE16 UXU16:UYA16 VHQ16:VHW16 VRM16:VRS16 WBI16:WBO16 WLE16:WLK16 WVA16:WVG16 C65579:I65579 IY65580:JE65580 SU65580:TA65580 ACQ65580:ACW65580 AMM65580:AMS65580 AWI65580:AWO65580 BGE65580:BGK65580 BQA65580:BQG65580 BZW65580:CAC65580 CJS65580:CJY65580 CTO65580:CTU65580 DDK65580:DDQ65580 DNG65580:DNM65580 DXC65580:DXI65580 EGY65580:EHE65580 EQU65580:ERA65580 FAQ65580:FAW65580 FKM65580:FKS65580 FUI65580:FUO65580 GEE65580:GEK65580 GOA65580:GOG65580 GXW65580:GYC65580 HHS65580:HHY65580 HRO65580:HRU65580 IBK65580:IBQ65580 ILG65580:ILM65580 IVC65580:IVI65580 JEY65580:JFE65580 JOU65580:JPA65580 JYQ65580:JYW65580 KIM65580:KIS65580 KSI65580:KSO65580 LCE65580:LCK65580 LMA65580:LMG65580 LVW65580:LWC65580 MFS65580:MFY65580 MPO65580:MPU65580 MZK65580:MZQ65580 NJG65580:NJM65580 NTC65580:NTI65580 OCY65580:ODE65580 OMU65580:ONA65580 OWQ65580:OWW65580 PGM65580:PGS65580 PQI65580:PQO65580 QAE65580:QAK65580 QKA65580:QKG65580 QTW65580:QUC65580 RDS65580:RDY65580 RNO65580:RNU65580 RXK65580:RXQ65580 SHG65580:SHM65580 SRC65580:SRI65580 TAY65580:TBE65580 TKU65580:TLA65580 TUQ65580:TUW65580 UEM65580:UES65580 UOI65580:UOO65580 UYE65580:UYK65580 VIA65580:VIG65580 VRW65580:VSC65580 WBS65580:WBY65580 WLO65580:WLU65580 WVK65580:WVQ65580 C131115:I131115 IY131116:JE131116 SU131116:TA131116 ACQ131116:ACW131116 AMM131116:AMS131116 AWI131116:AWO131116 BGE131116:BGK131116 BQA131116:BQG131116 BZW131116:CAC131116 CJS131116:CJY131116 CTO131116:CTU131116 DDK131116:DDQ131116 DNG131116:DNM131116 DXC131116:DXI131116 EGY131116:EHE131116 EQU131116:ERA131116 FAQ131116:FAW131116 FKM131116:FKS131116 FUI131116:FUO131116 GEE131116:GEK131116 GOA131116:GOG131116 GXW131116:GYC131116 HHS131116:HHY131116 HRO131116:HRU131116 IBK131116:IBQ131116 ILG131116:ILM131116 IVC131116:IVI131116 JEY131116:JFE131116 JOU131116:JPA131116 JYQ131116:JYW131116 KIM131116:KIS131116 KSI131116:KSO131116 LCE131116:LCK131116 LMA131116:LMG131116 LVW131116:LWC131116 MFS131116:MFY131116 MPO131116:MPU131116 MZK131116:MZQ131116 NJG131116:NJM131116 NTC131116:NTI131116 OCY131116:ODE131116 OMU131116:ONA131116 OWQ131116:OWW131116 PGM131116:PGS131116 PQI131116:PQO131116 QAE131116:QAK131116 QKA131116:QKG131116 QTW131116:QUC131116 RDS131116:RDY131116 RNO131116:RNU131116 RXK131116:RXQ131116 SHG131116:SHM131116 SRC131116:SRI131116 TAY131116:TBE131116 TKU131116:TLA131116 TUQ131116:TUW131116 UEM131116:UES131116 UOI131116:UOO131116 UYE131116:UYK131116 VIA131116:VIG131116 VRW131116:VSC131116 WBS131116:WBY131116 WLO131116:WLU131116 WVK131116:WVQ131116 C196651:I196651 IY196652:JE196652 SU196652:TA196652 ACQ196652:ACW196652 AMM196652:AMS196652 AWI196652:AWO196652 BGE196652:BGK196652 BQA196652:BQG196652 BZW196652:CAC196652 CJS196652:CJY196652 CTO196652:CTU196652 DDK196652:DDQ196652 DNG196652:DNM196652 DXC196652:DXI196652 EGY196652:EHE196652 EQU196652:ERA196652 FAQ196652:FAW196652 FKM196652:FKS196652 FUI196652:FUO196652 GEE196652:GEK196652 GOA196652:GOG196652 GXW196652:GYC196652 HHS196652:HHY196652 HRO196652:HRU196652 IBK196652:IBQ196652 ILG196652:ILM196652 IVC196652:IVI196652 JEY196652:JFE196652 JOU196652:JPA196652 JYQ196652:JYW196652 KIM196652:KIS196652 KSI196652:KSO196652 LCE196652:LCK196652 LMA196652:LMG196652 LVW196652:LWC196652 MFS196652:MFY196652 MPO196652:MPU196652 MZK196652:MZQ196652 NJG196652:NJM196652 NTC196652:NTI196652 OCY196652:ODE196652 OMU196652:ONA196652 OWQ196652:OWW196652 PGM196652:PGS196652 PQI196652:PQO196652 QAE196652:QAK196652 QKA196652:QKG196652 QTW196652:QUC196652 RDS196652:RDY196652 RNO196652:RNU196652 RXK196652:RXQ196652 SHG196652:SHM196652 SRC196652:SRI196652 TAY196652:TBE196652 TKU196652:TLA196652 TUQ196652:TUW196652 UEM196652:UES196652 UOI196652:UOO196652 UYE196652:UYK196652 VIA196652:VIG196652 VRW196652:VSC196652 WBS196652:WBY196652 WLO196652:WLU196652 WVK196652:WVQ196652 C262187:I262187 IY262188:JE262188 SU262188:TA262188 ACQ262188:ACW262188 AMM262188:AMS262188 AWI262188:AWO262188 BGE262188:BGK262188 BQA262188:BQG262188 BZW262188:CAC262188 CJS262188:CJY262188 CTO262188:CTU262188 DDK262188:DDQ262188 DNG262188:DNM262188 DXC262188:DXI262188 EGY262188:EHE262188 EQU262188:ERA262188 FAQ262188:FAW262188 FKM262188:FKS262188 FUI262188:FUO262188 GEE262188:GEK262188 GOA262188:GOG262188 GXW262188:GYC262188 HHS262188:HHY262188 HRO262188:HRU262188 IBK262188:IBQ262188 ILG262188:ILM262188 IVC262188:IVI262188 JEY262188:JFE262188 JOU262188:JPA262188 JYQ262188:JYW262188 KIM262188:KIS262188 KSI262188:KSO262188 LCE262188:LCK262188 LMA262188:LMG262188 LVW262188:LWC262188 MFS262188:MFY262188 MPO262188:MPU262188 MZK262188:MZQ262188 NJG262188:NJM262188 NTC262188:NTI262188 OCY262188:ODE262188 OMU262188:ONA262188 OWQ262188:OWW262188 PGM262188:PGS262188 PQI262188:PQO262188 QAE262188:QAK262188 QKA262188:QKG262188 QTW262188:QUC262188 RDS262188:RDY262188 RNO262188:RNU262188 RXK262188:RXQ262188 SHG262188:SHM262188 SRC262188:SRI262188 TAY262188:TBE262188 TKU262188:TLA262188 TUQ262188:TUW262188 UEM262188:UES262188 UOI262188:UOO262188 UYE262188:UYK262188 VIA262188:VIG262188 VRW262188:VSC262188 WBS262188:WBY262188 WLO262188:WLU262188 WVK262188:WVQ262188 C327723:I327723 IY327724:JE327724 SU327724:TA327724 ACQ327724:ACW327724 AMM327724:AMS327724 AWI327724:AWO327724 BGE327724:BGK327724 BQA327724:BQG327724 BZW327724:CAC327724 CJS327724:CJY327724 CTO327724:CTU327724 DDK327724:DDQ327724 DNG327724:DNM327724 DXC327724:DXI327724 EGY327724:EHE327724 EQU327724:ERA327724 FAQ327724:FAW327724 FKM327724:FKS327724 FUI327724:FUO327724 GEE327724:GEK327724 GOA327724:GOG327724 GXW327724:GYC327724 HHS327724:HHY327724 HRO327724:HRU327724 IBK327724:IBQ327724 ILG327724:ILM327724 IVC327724:IVI327724 JEY327724:JFE327724 JOU327724:JPA327724 JYQ327724:JYW327724 KIM327724:KIS327724 KSI327724:KSO327724 LCE327724:LCK327724 LMA327724:LMG327724 LVW327724:LWC327724 MFS327724:MFY327724 MPO327724:MPU327724 MZK327724:MZQ327724 NJG327724:NJM327724 NTC327724:NTI327724 OCY327724:ODE327724 OMU327724:ONA327724 OWQ327724:OWW327724 PGM327724:PGS327724 PQI327724:PQO327724 QAE327724:QAK327724 QKA327724:QKG327724 QTW327724:QUC327724 RDS327724:RDY327724 RNO327724:RNU327724 RXK327724:RXQ327724 SHG327724:SHM327724 SRC327724:SRI327724 TAY327724:TBE327724 TKU327724:TLA327724 TUQ327724:TUW327724 UEM327724:UES327724 UOI327724:UOO327724 UYE327724:UYK327724 VIA327724:VIG327724 VRW327724:VSC327724 WBS327724:WBY327724 WLO327724:WLU327724 WVK327724:WVQ327724 C393259:I393259 IY393260:JE393260 SU393260:TA393260 ACQ393260:ACW393260 AMM393260:AMS393260 AWI393260:AWO393260 BGE393260:BGK393260 BQA393260:BQG393260 BZW393260:CAC393260 CJS393260:CJY393260 CTO393260:CTU393260 DDK393260:DDQ393260 DNG393260:DNM393260 DXC393260:DXI393260 EGY393260:EHE393260 EQU393260:ERA393260 FAQ393260:FAW393260 FKM393260:FKS393260 FUI393260:FUO393260 GEE393260:GEK393260 GOA393260:GOG393260 GXW393260:GYC393260 HHS393260:HHY393260 HRO393260:HRU393260 IBK393260:IBQ393260 ILG393260:ILM393260 IVC393260:IVI393260 JEY393260:JFE393260 JOU393260:JPA393260 JYQ393260:JYW393260 KIM393260:KIS393260 KSI393260:KSO393260 LCE393260:LCK393260 LMA393260:LMG393260 LVW393260:LWC393260 MFS393260:MFY393260 MPO393260:MPU393260 MZK393260:MZQ393260 NJG393260:NJM393260 NTC393260:NTI393260 OCY393260:ODE393260 OMU393260:ONA393260 OWQ393260:OWW393260 PGM393260:PGS393260 PQI393260:PQO393260 QAE393260:QAK393260 QKA393260:QKG393260 QTW393260:QUC393260 RDS393260:RDY393260 RNO393260:RNU393260 RXK393260:RXQ393260 SHG393260:SHM393260 SRC393260:SRI393260 TAY393260:TBE393260 TKU393260:TLA393260 TUQ393260:TUW393260 UEM393260:UES393260 UOI393260:UOO393260 UYE393260:UYK393260 VIA393260:VIG393260 VRW393260:VSC393260 WBS393260:WBY393260 WLO393260:WLU393260 WVK393260:WVQ393260 C458795:I458795 IY458796:JE458796 SU458796:TA458796 ACQ458796:ACW458796 AMM458796:AMS458796 AWI458796:AWO458796 BGE458796:BGK458796 BQA458796:BQG458796 BZW458796:CAC458796 CJS458796:CJY458796 CTO458796:CTU458796 DDK458796:DDQ458796 DNG458796:DNM458796 DXC458796:DXI458796 EGY458796:EHE458796 EQU458796:ERA458796 FAQ458796:FAW458796 FKM458796:FKS458796 FUI458796:FUO458796 GEE458796:GEK458796 GOA458796:GOG458796 GXW458796:GYC458796 HHS458796:HHY458796 HRO458796:HRU458796 IBK458796:IBQ458796 ILG458796:ILM458796 IVC458796:IVI458796 JEY458796:JFE458796 JOU458796:JPA458796 JYQ458796:JYW458796 KIM458796:KIS458796 KSI458796:KSO458796 LCE458796:LCK458796 LMA458796:LMG458796 LVW458796:LWC458796 MFS458796:MFY458796 MPO458796:MPU458796 MZK458796:MZQ458796 NJG458796:NJM458796 NTC458796:NTI458796 OCY458796:ODE458796 OMU458796:ONA458796 OWQ458796:OWW458796 PGM458796:PGS458796 PQI458796:PQO458796 QAE458796:QAK458796 QKA458796:QKG458796 QTW458796:QUC458796 RDS458796:RDY458796 RNO458796:RNU458796 RXK458796:RXQ458796 SHG458796:SHM458796 SRC458796:SRI458796 TAY458796:TBE458796 TKU458796:TLA458796 TUQ458796:TUW458796 UEM458796:UES458796 UOI458796:UOO458796 UYE458796:UYK458796 VIA458796:VIG458796 VRW458796:VSC458796 WBS458796:WBY458796 WLO458796:WLU458796 WVK458796:WVQ458796 C524331:I524331 IY524332:JE524332 SU524332:TA524332 ACQ524332:ACW524332 AMM524332:AMS524332 AWI524332:AWO524332 BGE524332:BGK524332 BQA524332:BQG524332 BZW524332:CAC524332 CJS524332:CJY524332 CTO524332:CTU524332 DDK524332:DDQ524332 DNG524332:DNM524332 DXC524332:DXI524332 EGY524332:EHE524332 EQU524332:ERA524332 FAQ524332:FAW524332 FKM524332:FKS524332 FUI524332:FUO524332 GEE524332:GEK524332 GOA524332:GOG524332 GXW524332:GYC524332 HHS524332:HHY524332 HRO524332:HRU524332 IBK524332:IBQ524332 ILG524332:ILM524332 IVC524332:IVI524332 JEY524332:JFE524332 JOU524332:JPA524332 JYQ524332:JYW524332 KIM524332:KIS524332 KSI524332:KSO524332 LCE524332:LCK524332 LMA524332:LMG524332 LVW524332:LWC524332 MFS524332:MFY524332 MPO524332:MPU524332 MZK524332:MZQ524332 NJG524332:NJM524332 NTC524332:NTI524332 OCY524332:ODE524332 OMU524332:ONA524332 OWQ524332:OWW524332 PGM524332:PGS524332 PQI524332:PQO524332 QAE524332:QAK524332 QKA524332:QKG524332 QTW524332:QUC524332 RDS524332:RDY524332 RNO524332:RNU524332 RXK524332:RXQ524332 SHG524332:SHM524332 SRC524332:SRI524332 TAY524332:TBE524332 TKU524332:TLA524332 TUQ524332:TUW524332 UEM524332:UES524332 UOI524332:UOO524332 UYE524332:UYK524332 VIA524332:VIG524332 VRW524332:VSC524332 WBS524332:WBY524332 WLO524332:WLU524332 WVK524332:WVQ524332 C589867:I589867 IY589868:JE589868 SU589868:TA589868 ACQ589868:ACW589868 AMM589868:AMS589868 AWI589868:AWO589868 BGE589868:BGK589868 BQA589868:BQG589868 BZW589868:CAC589868 CJS589868:CJY589868 CTO589868:CTU589868 DDK589868:DDQ589868 DNG589868:DNM589868 DXC589868:DXI589868 EGY589868:EHE589868 EQU589868:ERA589868 FAQ589868:FAW589868 FKM589868:FKS589868 FUI589868:FUO589868 GEE589868:GEK589868 GOA589868:GOG589868 GXW589868:GYC589868 HHS589868:HHY589868 HRO589868:HRU589868 IBK589868:IBQ589868 ILG589868:ILM589868 IVC589868:IVI589868 JEY589868:JFE589868 JOU589868:JPA589868 JYQ589868:JYW589868 KIM589868:KIS589868 KSI589868:KSO589868 LCE589868:LCK589868 LMA589868:LMG589868 LVW589868:LWC589868 MFS589868:MFY589868 MPO589868:MPU589868 MZK589868:MZQ589868 NJG589868:NJM589868 NTC589868:NTI589868 OCY589868:ODE589868 OMU589868:ONA589868 OWQ589868:OWW589868 PGM589868:PGS589868 PQI589868:PQO589868 QAE589868:QAK589868 QKA589868:QKG589868 QTW589868:QUC589868 RDS589868:RDY589868 RNO589868:RNU589868 RXK589868:RXQ589868 SHG589868:SHM589868 SRC589868:SRI589868 TAY589868:TBE589868 TKU589868:TLA589868 TUQ589868:TUW589868 UEM589868:UES589868 UOI589868:UOO589868 UYE589868:UYK589868 VIA589868:VIG589868 VRW589868:VSC589868 WBS589868:WBY589868 WLO589868:WLU589868 WVK589868:WVQ589868 C655403:I655403 IY655404:JE655404 SU655404:TA655404 ACQ655404:ACW655404 AMM655404:AMS655404 AWI655404:AWO655404 BGE655404:BGK655404 BQA655404:BQG655404 BZW655404:CAC655404 CJS655404:CJY655404 CTO655404:CTU655404 DDK655404:DDQ655404 DNG655404:DNM655404 DXC655404:DXI655404 EGY655404:EHE655404 EQU655404:ERA655404 FAQ655404:FAW655404 FKM655404:FKS655404 FUI655404:FUO655404 GEE655404:GEK655404 GOA655404:GOG655404 GXW655404:GYC655404 HHS655404:HHY655404 HRO655404:HRU655404 IBK655404:IBQ655404 ILG655404:ILM655404 IVC655404:IVI655404 JEY655404:JFE655404 JOU655404:JPA655404 JYQ655404:JYW655404 KIM655404:KIS655404 KSI655404:KSO655404 LCE655404:LCK655404 LMA655404:LMG655404 LVW655404:LWC655404 MFS655404:MFY655404 MPO655404:MPU655404 MZK655404:MZQ655404 NJG655404:NJM655404 NTC655404:NTI655404 OCY655404:ODE655404 OMU655404:ONA655404 OWQ655404:OWW655404 PGM655404:PGS655404 PQI655404:PQO655404 QAE655404:QAK655404 QKA655404:QKG655404 QTW655404:QUC655404 RDS655404:RDY655404 RNO655404:RNU655404 RXK655404:RXQ655404 SHG655404:SHM655404 SRC655404:SRI655404 TAY655404:TBE655404 TKU655404:TLA655404 TUQ655404:TUW655404 UEM655404:UES655404 UOI655404:UOO655404 UYE655404:UYK655404 VIA655404:VIG655404 VRW655404:VSC655404 WBS655404:WBY655404 WLO655404:WLU655404 WVK655404:WVQ655404 C720939:I720939 IY720940:JE720940 SU720940:TA720940 ACQ720940:ACW720940 AMM720940:AMS720940 AWI720940:AWO720940 BGE720940:BGK720940 BQA720940:BQG720940 BZW720940:CAC720940 CJS720940:CJY720940 CTO720940:CTU720940 DDK720940:DDQ720940 DNG720940:DNM720940 DXC720940:DXI720940 EGY720940:EHE720940 EQU720940:ERA720940 FAQ720940:FAW720940 FKM720940:FKS720940 FUI720940:FUO720940 GEE720940:GEK720940 GOA720940:GOG720940 GXW720940:GYC720940 HHS720940:HHY720940 HRO720940:HRU720940 IBK720940:IBQ720940 ILG720940:ILM720940 IVC720940:IVI720940 JEY720940:JFE720940 JOU720940:JPA720940 JYQ720940:JYW720940 KIM720940:KIS720940 KSI720940:KSO720940 LCE720940:LCK720940 LMA720940:LMG720940 LVW720940:LWC720940 MFS720940:MFY720940 MPO720940:MPU720940 MZK720940:MZQ720940 NJG720940:NJM720940 NTC720940:NTI720940 OCY720940:ODE720940 OMU720940:ONA720940 OWQ720940:OWW720940 PGM720940:PGS720940 PQI720940:PQO720940 QAE720940:QAK720940 QKA720940:QKG720940 QTW720940:QUC720940 RDS720940:RDY720940 RNO720940:RNU720940 RXK720940:RXQ720940 SHG720940:SHM720940 SRC720940:SRI720940 TAY720940:TBE720940 TKU720940:TLA720940 TUQ720940:TUW720940 UEM720940:UES720940 UOI720940:UOO720940 UYE720940:UYK720940 VIA720940:VIG720940 VRW720940:VSC720940 WBS720940:WBY720940 WLO720940:WLU720940 WVK720940:WVQ720940 C786475:I786475 IY786476:JE786476 SU786476:TA786476 ACQ786476:ACW786476 AMM786476:AMS786476 AWI786476:AWO786476 BGE786476:BGK786476 BQA786476:BQG786476 BZW786476:CAC786476 CJS786476:CJY786476 CTO786476:CTU786476 DDK786476:DDQ786476 DNG786476:DNM786476 DXC786476:DXI786476 EGY786476:EHE786476 EQU786476:ERA786476 FAQ786476:FAW786476 FKM786476:FKS786476 FUI786476:FUO786476 GEE786476:GEK786476 GOA786476:GOG786476 GXW786476:GYC786476 HHS786476:HHY786476 HRO786476:HRU786476 IBK786476:IBQ786476 ILG786476:ILM786476 IVC786476:IVI786476 JEY786476:JFE786476 JOU786476:JPA786476 JYQ786476:JYW786476 KIM786476:KIS786476 KSI786476:KSO786476 LCE786476:LCK786476 LMA786476:LMG786476 LVW786476:LWC786476 MFS786476:MFY786476 MPO786476:MPU786476 MZK786476:MZQ786476 NJG786476:NJM786476 NTC786476:NTI786476 OCY786476:ODE786476 OMU786476:ONA786476 OWQ786476:OWW786476 PGM786476:PGS786476 PQI786476:PQO786476 QAE786476:QAK786476 QKA786476:QKG786476 QTW786476:QUC786476 RDS786476:RDY786476 RNO786476:RNU786476 RXK786476:RXQ786476 SHG786476:SHM786476 SRC786476:SRI786476 TAY786476:TBE786476 TKU786476:TLA786476 TUQ786476:TUW786476 UEM786476:UES786476 UOI786476:UOO786476 UYE786476:UYK786476 VIA786476:VIG786476 VRW786476:VSC786476 WBS786476:WBY786476 WLO786476:WLU786476 WVK786476:WVQ786476 C852011:I852011 IY852012:JE852012 SU852012:TA852012 ACQ852012:ACW852012 AMM852012:AMS852012 AWI852012:AWO852012 BGE852012:BGK852012 BQA852012:BQG852012 BZW852012:CAC852012 CJS852012:CJY852012 CTO852012:CTU852012 DDK852012:DDQ852012 DNG852012:DNM852012 DXC852012:DXI852012 EGY852012:EHE852012 EQU852012:ERA852012 FAQ852012:FAW852012 FKM852012:FKS852012 FUI852012:FUO852012 GEE852012:GEK852012 GOA852012:GOG852012 GXW852012:GYC852012 HHS852012:HHY852012 HRO852012:HRU852012 IBK852012:IBQ852012 ILG852012:ILM852012 IVC852012:IVI852012 JEY852012:JFE852012 JOU852012:JPA852012 JYQ852012:JYW852012 KIM852012:KIS852012 KSI852012:KSO852012 LCE852012:LCK852012 LMA852012:LMG852012 LVW852012:LWC852012 MFS852012:MFY852012 MPO852012:MPU852012 MZK852012:MZQ852012 NJG852012:NJM852012 NTC852012:NTI852012 OCY852012:ODE852012 OMU852012:ONA852012 OWQ852012:OWW852012 PGM852012:PGS852012 PQI852012:PQO852012 QAE852012:QAK852012 QKA852012:QKG852012 QTW852012:QUC852012 RDS852012:RDY852012 RNO852012:RNU852012 RXK852012:RXQ852012 SHG852012:SHM852012 SRC852012:SRI852012 TAY852012:TBE852012 TKU852012:TLA852012 TUQ852012:TUW852012 UEM852012:UES852012 UOI852012:UOO852012 UYE852012:UYK852012 VIA852012:VIG852012 VRW852012:VSC852012 WBS852012:WBY852012 WLO852012:WLU852012 WVK852012:WVQ852012 C917547:I917547 IY917548:JE917548 SU917548:TA917548 ACQ917548:ACW917548 AMM917548:AMS917548 AWI917548:AWO917548 BGE917548:BGK917548 BQA917548:BQG917548 BZW917548:CAC917548 CJS917548:CJY917548 CTO917548:CTU917548 DDK917548:DDQ917548 DNG917548:DNM917548 DXC917548:DXI917548 EGY917548:EHE917548 EQU917548:ERA917548 FAQ917548:FAW917548 FKM917548:FKS917548 FUI917548:FUO917548 GEE917548:GEK917548 GOA917548:GOG917548 GXW917548:GYC917548 HHS917548:HHY917548 HRO917548:HRU917548 IBK917548:IBQ917548 ILG917548:ILM917548 IVC917548:IVI917548 JEY917548:JFE917548 JOU917548:JPA917548 JYQ917548:JYW917548 KIM917548:KIS917548 KSI917548:KSO917548 LCE917548:LCK917548 LMA917548:LMG917548 LVW917548:LWC917548 MFS917548:MFY917548 MPO917548:MPU917548 MZK917548:MZQ917548 NJG917548:NJM917548 NTC917548:NTI917548 OCY917548:ODE917548 OMU917548:ONA917548 OWQ917548:OWW917548 PGM917548:PGS917548 PQI917548:PQO917548 QAE917548:QAK917548 QKA917548:QKG917548 QTW917548:QUC917548 RDS917548:RDY917548 RNO917548:RNU917548 RXK917548:RXQ917548 SHG917548:SHM917548 SRC917548:SRI917548 TAY917548:TBE917548 TKU917548:TLA917548 TUQ917548:TUW917548 UEM917548:UES917548 UOI917548:UOO917548 UYE917548:UYK917548 VIA917548:VIG917548 VRW917548:VSC917548 WBS917548:WBY917548 WLO917548:WLU917548 WVK917548:WVQ917548 C983083:I983083 IY983084:JE983084 SU983084:TA983084 ACQ983084:ACW983084 AMM983084:AMS983084 AWI983084:AWO983084 BGE983084:BGK983084 BQA983084:BQG983084 BZW983084:CAC983084 CJS983084:CJY983084 CTO983084:CTU983084 DDK983084:DDQ983084 DNG983084:DNM983084 DXC983084:DXI983084 EGY983084:EHE983084 EQU983084:ERA983084 FAQ983084:FAW983084 FKM983084:FKS983084 FUI983084:FUO983084 GEE983084:GEK983084 GOA983084:GOG983084 GXW983084:GYC983084 HHS983084:HHY983084 HRO983084:HRU983084 IBK983084:IBQ983084 ILG983084:ILM983084 IVC983084:IVI983084 JEY983084:JFE983084 JOU983084:JPA983084 JYQ983084:JYW983084 KIM983084:KIS983084 KSI983084:KSO983084 LCE983084:LCK983084 LMA983084:LMG983084 LVW983084:LWC983084 MFS983084:MFY983084 MPO983084:MPU983084 MZK983084:MZQ983084 NJG983084:NJM983084 NTC983084:NTI983084 OCY983084:ODE983084 OMU983084:ONA983084 OWQ983084:OWW983084 PGM983084:PGS983084 PQI983084:PQO983084 QAE983084:QAK983084 QKA983084:QKG983084 QTW983084:QUC983084 RDS983084:RDY983084 RNO983084:RNU983084 RXK983084:RXQ983084 SHG983084:SHM983084 SRC983084:SRI983084 TAY983084:TBE983084 TKU983084:TLA983084 TUQ983084:TUW983084 UEM983084:UES983084 UOI983084:UOO983084 UYE983084:UYK983084 VIA983084:VIG983084 VRW983084:VSC983084 WBS983084:WBY983084 WLO983084:WLU983084">
      <formula1>Visit_types</formula1>
    </dataValidation>
    <dataValidation type="list" allowBlank="1" showInputMessage="1" showErrorMessage="1" sqref="B121">
      <formula1>$B$72:$B$151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'Unit costs'!$B$25:$B$66</xm:f>
          </x14:formula1>
          <xm:sqref>B17:B31</xm:sqref>
        </x14:dataValidation>
        <x14:dataValidation type="list" allowBlank="1" showInputMessage="1" showErrorMessage="1">
          <x14:formula1>
            <xm:f>'Unit costs'!$B$178:$B$206</xm:f>
          </x14:formula1>
          <xm:sqref>B55:B69</xm:sqref>
        </x14:dataValidation>
        <x14:dataValidation type="list" allowBlank="1" showInputMessage="1" showErrorMessage="1">
          <x14:formula1>
            <xm:f>'Drop Down Master List'!$G$3:$G$87</xm:f>
          </x14:formula1>
          <xm:sqref>B93:B120</xm:sqref>
        </x14:dataValidation>
        <x14:dataValidation type="list" allowBlank="1" showInputMessage="1" showErrorMessage="1">
          <x14:formula1>
            <xm:f>'Unit costs'!$B$86:$B$173</xm:f>
          </x14:formula1>
          <xm:sqref>B151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165"/>
  <sheetViews>
    <sheetView showGridLines="0" workbookViewId="0">
      <selection activeCell="E1" sqref="E1:G1"/>
    </sheetView>
  </sheetViews>
  <sheetFormatPr defaultRowHeight="15" x14ac:dyDescent="0.25"/>
  <cols>
    <col min="1" max="1" width="4.7109375" style="113" customWidth="1"/>
    <col min="2" max="2" width="48.42578125" style="120" customWidth="1"/>
    <col min="3" max="12" width="15.7109375" style="120" customWidth="1"/>
    <col min="13" max="13" width="9.85546875" style="120" customWidth="1"/>
    <col min="14" max="15" width="10.28515625" style="120" customWidth="1"/>
    <col min="16" max="16" width="9.42578125" style="120" customWidth="1"/>
    <col min="17" max="256" width="8.8554687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8.8554687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8.8554687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8.8554687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8.8554687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8.8554687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8.8554687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8.8554687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8.8554687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8.8554687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8.8554687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8.8554687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8.8554687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8.8554687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8.8554687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8.8554687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8.8554687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8.8554687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8.8554687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8.8554687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8.8554687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8.8554687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8.8554687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8.8554687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8.8554687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8.8554687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8.8554687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8.8554687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8.8554687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8.8554687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8.8554687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8.8554687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8.8554687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8.8554687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8.8554687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8.8554687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8.8554687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8.8554687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8.8554687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8.8554687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8.8554687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8.8554687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8.8554687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8.8554687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8.8554687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8.8554687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8.8554687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8.8554687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8.8554687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8.8554687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8.8554687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8.8554687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8.8554687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8.8554687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8.8554687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8.8554687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8.8554687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8.8554687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8.8554687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8.8554687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8.8554687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8.8554687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8.8554687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8.8554687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ht="15.75" thickBot="1" x14ac:dyDescent="0.3">
      <c r="A5" s="119"/>
      <c r="B5" s="110"/>
      <c r="C5" s="211"/>
      <c r="D5" s="211"/>
      <c r="E5" s="212"/>
      <c r="F5" s="111"/>
      <c r="G5" s="111"/>
      <c r="H5" s="111"/>
      <c r="I5" s="111"/>
      <c r="J5" s="119"/>
      <c r="K5" s="119"/>
      <c r="L5" s="119"/>
      <c r="M5" s="119"/>
      <c r="N5" s="119"/>
      <c r="O5" s="119"/>
      <c r="P5" s="119"/>
    </row>
    <row r="6" spans="1:49" s="112" customFormat="1" ht="22.9" customHeight="1" x14ac:dyDescent="0.25">
      <c r="B6" s="460" t="s">
        <v>322</v>
      </c>
      <c r="C6" s="461"/>
      <c r="D6" s="461"/>
      <c r="E6" s="461"/>
      <c r="F6" s="461"/>
      <c r="G6" s="462"/>
      <c r="H6" s="109"/>
      <c r="I6" s="119"/>
      <c r="J6" s="119"/>
      <c r="K6" s="119"/>
      <c r="L6" s="119"/>
      <c r="M6" s="119"/>
      <c r="N6" s="119"/>
      <c r="O6" s="119"/>
    </row>
    <row r="7" spans="1:49" s="112" customFormat="1" ht="18.600000000000001" customHeight="1" x14ac:dyDescent="0.25">
      <c r="B7" s="213" t="s">
        <v>222</v>
      </c>
      <c r="C7" s="214" t="s">
        <v>70</v>
      </c>
      <c r="D7" s="215" t="s">
        <v>223</v>
      </c>
      <c r="E7" s="216" t="s">
        <v>224</v>
      </c>
      <c r="F7" s="217" t="s">
        <v>225</v>
      </c>
      <c r="G7" s="218" t="s">
        <v>321</v>
      </c>
      <c r="H7" s="109"/>
      <c r="I7" s="119"/>
      <c r="J7" s="119"/>
      <c r="K7" s="119"/>
      <c r="L7" s="119"/>
      <c r="M7" s="119"/>
      <c r="N7" s="119"/>
      <c r="O7" s="119"/>
    </row>
    <row r="8" spans="1:49" s="112" customFormat="1" x14ac:dyDescent="0.25">
      <c r="B8" s="219" t="str">
        <f>'Set up'!B18</f>
        <v>Abbott M2000 RealTime</v>
      </c>
      <c r="C8" s="350">
        <f>IFERROR(SUM(C$34:C$48),"")</f>
        <v>0.75027414947643267</v>
      </c>
      <c r="D8" s="350">
        <f>IFERROR(SUM(C72:C86),"")</f>
        <v>3.9174193548387096E-2</v>
      </c>
      <c r="E8" s="350">
        <f>IFERROR(SUM(C122:C148),"")</f>
        <v>0.82757663276003135</v>
      </c>
      <c r="F8" s="342">
        <f>IFERROR(SUM(C$154:C$163),"")</f>
        <v>0</v>
      </c>
      <c r="G8" s="336">
        <f>SUM(C8:F8)</f>
        <v>1.6170249757848512</v>
      </c>
      <c r="H8" s="109"/>
      <c r="I8" s="119"/>
      <c r="J8" s="119"/>
      <c r="K8" s="119"/>
      <c r="L8" s="119"/>
      <c r="M8" s="119"/>
      <c r="N8" s="119"/>
      <c r="O8" s="119"/>
    </row>
    <row r="9" spans="1:49" s="112" customFormat="1" x14ac:dyDescent="0.25">
      <c r="B9" s="219" t="str">
        <f>'Set up'!B19</f>
        <v>Abbott M2000 RealTime</v>
      </c>
      <c r="C9" s="350">
        <f>IFERROR(SUM(D$34:D$48),"")</f>
        <v>0.75027414947643267</v>
      </c>
      <c r="D9" s="350">
        <f>IFERROR(SUM(D$72:D$86),"")</f>
        <v>3.9174193548387096E-2</v>
      </c>
      <c r="E9" s="350">
        <f>IFERROR(SUM(D122:D148),"")</f>
        <v>0.82757663276003135</v>
      </c>
      <c r="F9" s="342">
        <f>IFERROR(SUM(D$154:D$163),"")</f>
        <v>0</v>
      </c>
      <c r="G9" s="336">
        <f t="shared" ref="G9:G11" si="0">SUM(C9:F9)</f>
        <v>1.6170249757848512</v>
      </c>
      <c r="H9" s="109"/>
      <c r="I9" s="119"/>
      <c r="J9" s="119"/>
      <c r="K9" s="119"/>
      <c r="L9" s="119"/>
      <c r="M9" s="119"/>
      <c r="N9" s="119"/>
      <c r="O9" s="119"/>
    </row>
    <row r="10" spans="1:49" s="112" customFormat="1" x14ac:dyDescent="0.25">
      <c r="B10" s="219" t="str">
        <f>'Set up'!B20</f>
        <v>Roche COBAS Ampliprep/TaqMan 48</v>
      </c>
      <c r="C10" s="350">
        <f>IFERROR(SUM(E$34:E$48),"")</f>
        <v>0.75027414947643267</v>
      </c>
      <c r="D10" s="350">
        <f>IFERROR(SUM(E$72:E$86),"")</f>
        <v>4.3371428571428575E-2</v>
      </c>
      <c r="E10" s="341">
        <f>IFERROR(SUM(E$122:E$148),"")</f>
        <v>0.82757663276003135</v>
      </c>
      <c r="F10" s="342">
        <f>IFERROR(SUM(E$154:E$163),"")</f>
        <v>0</v>
      </c>
      <c r="G10" s="336">
        <f t="shared" si="0"/>
        <v>1.6212222108078926</v>
      </c>
      <c r="H10" s="111"/>
      <c r="I10" s="119"/>
      <c r="J10" s="119"/>
      <c r="K10" s="119"/>
      <c r="L10" s="119"/>
      <c r="M10" s="119"/>
      <c r="N10" s="119"/>
      <c r="O10" s="119"/>
    </row>
    <row r="11" spans="1:49" s="112" customFormat="1" x14ac:dyDescent="0.25">
      <c r="B11" s="219" t="str">
        <f>'Set up'!B21</f>
        <v>Roche COBAS Ampliprep/TaqMan 48</v>
      </c>
      <c r="C11" s="350">
        <f>IFERROR(SUM(F$34:F$48),"")</f>
        <v>0.75027414947643267</v>
      </c>
      <c r="D11" s="350">
        <f>IFERROR(SUM(F$72:F$86),"")</f>
        <v>4.3371428571428575E-2</v>
      </c>
      <c r="E11" s="341">
        <f>IFERROR(SUM(F$122:F$148),"")</f>
        <v>0.82757663276003135</v>
      </c>
      <c r="F11" s="342">
        <f>IFERROR(SUM(F$154:F$163),"")</f>
        <v>0</v>
      </c>
      <c r="G11" s="336">
        <f t="shared" si="0"/>
        <v>1.6212222108078926</v>
      </c>
      <c r="H11" s="111"/>
      <c r="I11" s="119"/>
      <c r="J11" s="119"/>
      <c r="K11" s="119"/>
      <c r="L11" s="119"/>
      <c r="M11" s="119"/>
      <c r="N11" s="119"/>
      <c r="O11" s="119"/>
    </row>
    <row r="12" spans="1:49" s="112" customFormat="1" x14ac:dyDescent="0.25">
      <c r="B12" s="211"/>
      <c r="C12" s="211"/>
      <c r="D12" s="211"/>
      <c r="E12" s="220"/>
      <c r="F12" s="111"/>
      <c r="G12" s="111"/>
      <c r="H12" s="111"/>
      <c r="I12" s="111"/>
      <c r="J12" s="119"/>
      <c r="K12" s="119"/>
      <c r="L12" s="119"/>
      <c r="M12" s="119"/>
      <c r="N12" s="119"/>
      <c r="O12" s="119"/>
      <c r="P12" s="119"/>
    </row>
    <row r="13" spans="1:49" s="112" customFormat="1" ht="20.45" customHeight="1" x14ac:dyDescent="0.25">
      <c r="B13" s="445" t="s">
        <v>72</v>
      </c>
      <c r="C13" s="445"/>
      <c r="D13" s="445"/>
      <c r="E13" s="445"/>
      <c r="F13" s="445"/>
      <c r="G13" s="445"/>
      <c r="H13" s="445"/>
      <c r="I13" s="445"/>
      <c r="J13" s="445"/>
      <c r="K13" s="445"/>
      <c r="L13" s="445"/>
      <c r="M13" s="207"/>
      <c r="N13" s="207"/>
      <c r="O13" s="207"/>
      <c r="P13" s="207"/>
    </row>
    <row r="14" spans="1:49" s="112" customFormat="1" x14ac:dyDescent="0.25">
      <c r="B14" s="211"/>
      <c r="C14" s="211"/>
      <c r="D14" s="211"/>
      <c r="E14" s="220"/>
      <c r="F14" s="111"/>
      <c r="G14" s="111"/>
      <c r="H14" s="111"/>
      <c r="I14" s="111"/>
      <c r="J14" s="119"/>
      <c r="K14" s="119"/>
      <c r="L14" s="119"/>
      <c r="M14" s="119"/>
      <c r="N14" s="119"/>
      <c r="O14" s="119"/>
      <c r="P14" s="119"/>
    </row>
    <row r="15" spans="1:49" s="112" customFormat="1" x14ac:dyDescent="0.25">
      <c r="B15" s="221" t="s">
        <v>226</v>
      </c>
      <c r="C15" s="222"/>
      <c r="D15" s="223"/>
      <c r="E15" s="223"/>
      <c r="H15" s="465"/>
      <c r="I15" s="465"/>
      <c r="J15" s="465"/>
      <c r="K15" s="465"/>
      <c r="L15" s="465"/>
      <c r="M15" s="447"/>
      <c r="N15" s="447"/>
    </row>
    <row r="16" spans="1:49" s="228" customFormat="1" ht="45.6" customHeight="1" x14ac:dyDescent="0.25">
      <c r="A16" s="224"/>
      <c r="B16" s="225" t="s">
        <v>319</v>
      </c>
      <c r="C16" s="245" t="str">
        <f>'Set up'!B18</f>
        <v>Abbott M2000 RealTime</v>
      </c>
      <c r="D16" s="245" t="str">
        <f>'Set up'!B19</f>
        <v>Abbott M2000 RealTime</v>
      </c>
      <c r="E16" s="245" t="str">
        <f>'Set up'!B20</f>
        <v>Roche COBAS Ampliprep/TaqMan 48</v>
      </c>
      <c r="F16" s="245" t="str">
        <f>'Set up'!B21</f>
        <v>Roche COBAS Ampliprep/TaqMan 48</v>
      </c>
      <c r="G16" s="227"/>
      <c r="H16" s="227"/>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row>
    <row r="17" spans="2:40" x14ac:dyDescent="0.25">
      <c r="B17" s="62" t="s">
        <v>13</v>
      </c>
      <c r="C17" s="11"/>
      <c r="D17" s="11"/>
      <c r="E17" s="11"/>
      <c r="F17" s="11"/>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row>
    <row r="18" spans="2:40" x14ac:dyDescent="0.25">
      <c r="B18" s="62" t="s">
        <v>15</v>
      </c>
      <c r="C18" s="11"/>
      <c r="D18" s="11"/>
      <c r="E18" s="11"/>
      <c r="F18" s="11"/>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row>
    <row r="19" spans="2:40" x14ac:dyDescent="0.25">
      <c r="B19" s="62" t="s">
        <v>16</v>
      </c>
      <c r="C19" s="11"/>
      <c r="D19" s="11"/>
      <c r="E19" s="11"/>
      <c r="F19" s="11"/>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row>
    <row r="20" spans="2:40" x14ac:dyDescent="0.25">
      <c r="B20" s="62" t="s">
        <v>17</v>
      </c>
      <c r="C20" s="11"/>
      <c r="D20" s="11"/>
      <c r="E20" s="11"/>
      <c r="F20" s="11"/>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row>
    <row r="21" spans="2:40" x14ac:dyDescent="0.25">
      <c r="B21" s="62"/>
      <c r="C21" s="11">
        <v>0</v>
      </c>
      <c r="D21" s="11">
        <v>0</v>
      </c>
      <c r="E21" s="11">
        <v>0</v>
      </c>
      <c r="F21" s="11">
        <v>0</v>
      </c>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row>
    <row r="22" spans="2:40" x14ac:dyDescent="0.25">
      <c r="B22" s="62" t="s">
        <v>20</v>
      </c>
      <c r="C22" s="11">
        <v>3</v>
      </c>
      <c r="D22" s="11">
        <v>3</v>
      </c>
      <c r="E22" s="11">
        <v>3</v>
      </c>
      <c r="F22" s="11">
        <v>3</v>
      </c>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row>
    <row r="23" spans="2:40" x14ac:dyDescent="0.25">
      <c r="B23" s="62" t="s">
        <v>22</v>
      </c>
      <c r="C23" s="11">
        <v>1</v>
      </c>
      <c r="D23" s="11">
        <v>1</v>
      </c>
      <c r="E23" s="11">
        <v>1</v>
      </c>
      <c r="F23" s="11">
        <v>1</v>
      </c>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row>
    <row r="24" spans="2:40" x14ac:dyDescent="0.25">
      <c r="B24" s="62" t="s">
        <v>25</v>
      </c>
      <c r="C24" s="11">
        <v>1</v>
      </c>
      <c r="D24" s="11">
        <v>1</v>
      </c>
      <c r="E24" s="11">
        <v>1</v>
      </c>
      <c r="F24" s="11">
        <v>1</v>
      </c>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row>
    <row r="25" spans="2:40" x14ac:dyDescent="0.25">
      <c r="B25" s="62" t="s">
        <v>100</v>
      </c>
      <c r="C25" s="11"/>
      <c r="D25" s="11"/>
      <c r="E25" s="11"/>
      <c r="F25" s="11"/>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row>
    <row r="26" spans="2:40" x14ac:dyDescent="0.25">
      <c r="B26" s="62" t="s">
        <v>100</v>
      </c>
      <c r="C26" s="11"/>
      <c r="D26" s="11"/>
      <c r="E26" s="11"/>
      <c r="F26" s="11"/>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row>
    <row r="27" spans="2:40" x14ac:dyDescent="0.25">
      <c r="B27" s="62" t="s">
        <v>100</v>
      </c>
      <c r="C27" s="11"/>
      <c r="D27" s="11"/>
      <c r="E27" s="11"/>
      <c r="F27" s="11"/>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row>
    <row r="28" spans="2:40" x14ac:dyDescent="0.25">
      <c r="B28" s="62" t="s">
        <v>100</v>
      </c>
      <c r="C28" s="11"/>
      <c r="D28" s="11"/>
      <c r="E28" s="11"/>
      <c r="F28" s="11"/>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row>
    <row r="29" spans="2:40" x14ac:dyDescent="0.25">
      <c r="B29" s="62" t="s">
        <v>100</v>
      </c>
      <c r="C29" s="11"/>
      <c r="D29" s="11"/>
      <c r="E29" s="11"/>
      <c r="F29" s="11"/>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row>
    <row r="30" spans="2:40" x14ac:dyDescent="0.25">
      <c r="B30" s="62" t="s">
        <v>100</v>
      </c>
      <c r="C30" s="11"/>
      <c r="D30" s="11"/>
      <c r="E30" s="11"/>
      <c r="F30" s="11"/>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row>
    <row r="31" spans="2:40" x14ac:dyDescent="0.25">
      <c r="B31" s="62" t="s">
        <v>100</v>
      </c>
      <c r="C31" s="11"/>
      <c r="D31" s="11"/>
      <c r="E31" s="11"/>
      <c r="F31" s="11"/>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row>
    <row r="32" spans="2:40" x14ac:dyDescent="0.25">
      <c r="B32" s="55"/>
      <c r="C32" s="56"/>
      <c r="D32" s="56"/>
      <c r="E32" s="56"/>
      <c r="F32" s="56"/>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row>
    <row r="33" spans="2:40" x14ac:dyDescent="0.25">
      <c r="B33" s="221" t="s">
        <v>506</v>
      </c>
      <c r="C33" s="56"/>
      <c r="D33" s="56"/>
      <c r="E33" s="56"/>
      <c r="F33" s="56"/>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row>
    <row r="34" spans="2:40" x14ac:dyDescent="0.25">
      <c r="B34" s="10" t="str">
        <f t="shared" ref="B34:B48" si="1">B17</f>
        <v>Nurse</v>
      </c>
      <c r="C34" s="340">
        <f>IFERROR((((VLOOKUP($B34,'Unit costs'!$B$25:$I$66,8,FALSE))*$C17/60)),"")</f>
        <v>0</v>
      </c>
      <c r="D34" s="340">
        <f>IFERROR((((VLOOKUP($B34,'Unit costs'!$B$25:$I$66,8,FALSE))*$D17/60)),"")</f>
        <v>0</v>
      </c>
      <c r="E34" s="340">
        <f>IFERROR((((VLOOKUP($B34,'Unit costs'!$B$25:$I$66,8,FALSE))*$E17/60)),"")</f>
        <v>0</v>
      </c>
      <c r="F34" s="340">
        <f>IFERROR((((VLOOKUP($B34,'Unit costs'!$B$25:$I$66,8,FALSE))*$F17/60)),"")</f>
        <v>0</v>
      </c>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row>
    <row r="35" spans="2:40" x14ac:dyDescent="0.25">
      <c r="B35" s="10" t="str">
        <f t="shared" si="1"/>
        <v>Doctor</v>
      </c>
      <c r="C35" s="340">
        <f>IFERROR((((VLOOKUP($B35,'Unit costs'!$B$25:$I$66,8,FALSE))*$C18/60)),"")</f>
        <v>0</v>
      </c>
      <c r="D35" s="340">
        <f>IFERROR((((VLOOKUP($B35,'Unit costs'!$B$25:$I$66,8,FALSE))*$D18/60)),"")</f>
        <v>0</v>
      </c>
      <c r="E35" s="340">
        <f>IFERROR((((VLOOKUP($B35,'Unit costs'!$B$25:$I$66,8,FALSE))*$E18/60)),"")</f>
        <v>0</v>
      </c>
      <c r="F35" s="340">
        <f>IFERROR((((VLOOKUP($B35,'Unit costs'!$B$25:$I$66,8,FALSE))*$F18/60)),"")</f>
        <v>0</v>
      </c>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row>
    <row r="36" spans="2:40" x14ac:dyDescent="0.25">
      <c r="B36" s="10" t="str">
        <f t="shared" si="1"/>
        <v>Clinical Officer</v>
      </c>
      <c r="C36" s="340">
        <f>IFERROR((((VLOOKUP($B36,'Unit costs'!$B$25:$I$66,8,FALSE))*$C19/60)),"")</f>
        <v>0</v>
      </c>
      <c r="D36" s="340">
        <f>IFERROR((((VLOOKUP($B36,'Unit costs'!$B$25:$I$66,8,FALSE))*$D19/60)),"")</f>
        <v>0</v>
      </c>
      <c r="E36" s="340">
        <f>IFERROR((((VLOOKUP($B36,'Unit costs'!$B$25:$I$66,8,FALSE))*$E19/60)),"")</f>
        <v>0</v>
      </c>
      <c r="F36" s="340">
        <f>IFERROR((((VLOOKUP($B36,'Unit costs'!$B$25:$I$66,8,FALSE))*$F19/60)),"")</f>
        <v>0</v>
      </c>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row>
    <row r="37" spans="2:40" x14ac:dyDescent="0.25">
      <c r="B37" s="10" t="str">
        <f t="shared" si="1"/>
        <v>Nurse assistant</v>
      </c>
      <c r="C37" s="340">
        <f>IFERROR((((VLOOKUP($B37,'Unit costs'!$B$25:$I$66,8,FALSE))*$C20/60)),"")</f>
        <v>0</v>
      </c>
      <c r="D37" s="340">
        <f>IFERROR((((VLOOKUP($B37,'Unit costs'!$B$25:$I$66,8,FALSE))*$D20/60)),"")</f>
        <v>0</v>
      </c>
      <c r="E37" s="340">
        <f>IFERROR((((VLOOKUP($B37,'Unit costs'!$B$25:$I$66,8,FALSE))*$E20/60)),"")</f>
        <v>0</v>
      </c>
      <c r="F37" s="340">
        <f>IFERROR((((VLOOKUP($B37,'Unit costs'!$B$25:$I$66,8,FALSE))*$F20/60)),"")</f>
        <v>0</v>
      </c>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row>
    <row r="38" spans="2:40" x14ac:dyDescent="0.25">
      <c r="B38" s="10">
        <f t="shared" si="1"/>
        <v>0</v>
      </c>
      <c r="C38" s="340" t="str">
        <f>IFERROR((((VLOOKUP($B38,'Unit costs'!$B$25:$I$66,8,FALSE))*$C21/60)),"")</f>
        <v/>
      </c>
      <c r="D38" s="340" t="str">
        <f>IFERROR((((VLOOKUP($B38,'Unit costs'!$B$25:$I$66,8,FALSE))*$D21/60)),"")</f>
        <v/>
      </c>
      <c r="E38" s="340" t="str">
        <f>IFERROR((((VLOOKUP($B38,'Unit costs'!$B$25:$I$66,8,FALSE))*$E21/60)),"")</f>
        <v/>
      </c>
      <c r="F38" s="340" t="str">
        <f>IFERROR((((VLOOKUP($B38,'Unit costs'!$B$25:$I$66,8,FALSE))*$F21/60)),"")</f>
        <v/>
      </c>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row>
    <row r="39" spans="2:40" x14ac:dyDescent="0.25">
      <c r="B39" s="10" t="str">
        <f t="shared" si="1"/>
        <v>Lab technologist</v>
      </c>
      <c r="C39" s="340">
        <f>IFERROR((((VLOOKUP($B39,'Unit costs'!$B$25:$I$66,8,FALSE))*$C22/60)),"")</f>
        <v>0.38866996544865484</v>
      </c>
      <c r="D39" s="340">
        <f>IFERROR((((VLOOKUP($B39,'Unit costs'!$B$25:$I$66,8,FALSE))*$D22/60)),"")</f>
        <v>0.38866996544865484</v>
      </c>
      <c r="E39" s="340">
        <f>IFERROR((((VLOOKUP($B39,'Unit costs'!$B$25:$I$66,8,FALSE))*$E22/60)),"")</f>
        <v>0.38866996544865484</v>
      </c>
      <c r="F39" s="340">
        <f>IFERROR((((VLOOKUP($B39,'Unit costs'!$B$25:$I$66,8,FALSE))*$F22/60)),"")</f>
        <v>0.38866996544865484</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row>
    <row r="40" spans="2:40" x14ac:dyDescent="0.25">
      <c r="B40" s="10" t="str">
        <f t="shared" si="1"/>
        <v>Admin Officer</v>
      </c>
      <c r="C40" s="340">
        <f>IFERROR((((VLOOKUP($B40,'Unit costs'!$B$25:$I$66,8,FALSE))*$C23/60)),"")</f>
        <v>6.7800772569444459E-2</v>
      </c>
      <c r="D40" s="340">
        <f>IFERROR((((VLOOKUP($B40,'Unit costs'!$B$25:$I$66,8,FALSE))*$D23/60)),"")</f>
        <v>6.7800772569444459E-2</v>
      </c>
      <c r="E40" s="340">
        <f>IFERROR((((VLOOKUP($B40,'Unit costs'!$B$25:$I$66,8,FALSE))*$E23/60)),"")</f>
        <v>6.7800772569444459E-2</v>
      </c>
      <c r="F40" s="340">
        <f>IFERROR((((VLOOKUP($B40,'Unit costs'!$B$25:$I$66,8,FALSE))*$F23/60)),"")</f>
        <v>6.7800772569444459E-2</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row>
    <row r="41" spans="2:40" x14ac:dyDescent="0.25">
      <c r="B41" s="10" t="str">
        <f t="shared" si="1"/>
        <v>Lab Manager</v>
      </c>
      <c r="C41" s="340">
        <f>IFERROR((((VLOOKUP($B41,'Unit costs'!$B$25:$I$66,8,FALSE))*$C24/60)),"")</f>
        <v>0.29380341145833339</v>
      </c>
      <c r="D41" s="340">
        <f>IFERROR((((VLOOKUP($B41,'Unit costs'!$B$25:$I$66,8,FALSE))*$D24/60)),"")</f>
        <v>0.29380341145833339</v>
      </c>
      <c r="E41" s="340">
        <f>IFERROR((((VLOOKUP($B41,'Unit costs'!$B$25:$I$66,8,FALSE))*$E24/60)),"")</f>
        <v>0.29380341145833339</v>
      </c>
      <c r="F41" s="340">
        <f>IFERROR((((VLOOKUP($B41,'Unit costs'!$B$25:$I$66,8,FALSE))*$F24/60)),"")</f>
        <v>0.29380341145833339</v>
      </c>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row>
    <row r="42" spans="2:40" x14ac:dyDescent="0.25">
      <c r="B42" s="10" t="str">
        <f t="shared" si="1"/>
        <v>Other personnel</v>
      </c>
      <c r="C42" s="340">
        <f>IFERROR((((VLOOKUP($B42,'Unit costs'!$B$25:$I$66,8,FALSE))*$C25/60)),"")</f>
        <v>0</v>
      </c>
      <c r="D42" s="340">
        <f>IFERROR((((VLOOKUP($B42,'Unit costs'!$B$25:$I$66,8,FALSE))*$D25/60)),"")</f>
        <v>0</v>
      </c>
      <c r="E42" s="340">
        <f>IFERROR((((VLOOKUP($B42,'Unit costs'!$B$25:$I$66,8,FALSE))*$E25/60)),"")</f>
        <v>0</v>
      </c>
      <c r="F42" s="340">
        <f>IFERROR((((VLOOKUP($B42,'Unit costs'!$B$25:$I$66,8,FALSE))*$F25/60)),"")</f>
        <v>0</v>
      </c>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row>
    <row r="43" spans="2:40" x14ac:dyDescent="0.25">
      <c r="B43" s="10" t="str">
        <f t="shared" si="1"/>
        <v>Other personnel</v>
      </c>
      <c r="C43" s="340">
        <f>IFERROR((((VLOOKUP($B43,'Unit costs'!$B$25:$I$66,8,FALSE))*$C26/60)),"")</f>
        <v>0</v>
      </c>
      <c r="D43" s="340">
        <f>IFERROR((((VLOOKUP($B43,'Unit costs'!$B$25:$I$66,8,FALSE))*$D26/60)),"")</f>
        <v>0</v>
      </c>
      <c r="E43" s="340">
        <f>IFERROR((((VLOOKUP($B43,'Unit costs'!$B$25:$I$66,8,FALSE))*$E26/60)),"")</f>
        <v>0</v>
      </c>
      <c r="F43" s="340">
        <f>IFERROR((((VLOOKUP($B43,'Unit costs'!$B$25:$I$66,8,FALSE))*$F26/60)),"")</f>
        <v>0</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row>
    <row r="44" spans="2:40" x14ac:dyDescent="0.25">
      <c r="B44" s="10" t="str">
        <f t="shared" si="1"/>
        <v>Other personnel</v>
      </c>
      <c r="C44" s="340">
        <f>IFERROR((((VLOOKUP($B44,'Unit costs'!$B$25:$I$66,8,FALSE))*$C27/60)),"")</f>
        <v>0</v>
      </c>
      <c r="D44" s="340">
        <f>IFERROR((((VLOOKUP($B44,'Unit costs'!$B$25:$I$66,8,FALSE))*$D27/60)),"")</f>
        <v>0</v>
      </c>
      <c r="E44" s="340">
        <f>IFERROR((((VLOOKUP($B44,'Unit costs'!$B$25:$I$66,8,FALSE))*$E27/60)),"")</f>
        <v>0</v>
      </c>
      <c r="F44" s="340">
        <f>IFERROR((((VLOOKUP($B44,'Unit costs'!$B$25:$I$66,8,FALSE))*$F27/60)),"")</f>
        <v>0</v>
      </c>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row>
    <row r="45" spans="2:40" x14ac:dyDescent="0.25">
      <c r="B45" s="10" t="str">
        <f t="shared" si="1"/>
        <v>Other personnel</v>
      </c>
      <c r="C45" s="340">
        <f>IFERROR((((VLOOKUP($B45,'Unit costs'!$B$25:$I$66,8,FALSE))*$C28/60)),"")</f>
        <v>0</v>
      </c>
      <c r="D45" s="340">
        <f>IFERROR((((VLOOKUP($B45,'Unit costs'!$B$25:$I$66,8,FALSE))*$D28/60)),"")</f>
        <v>0</v>
      </c>
      <c r="E45" s="340">
        <f>IFERROR((((VLOOKUP($B45,'Unit costs'!$B$25:$I$66,8,FALSE))*$E28/60)),"")</f>
        <v>0</v>
      </c>
      <c r="F45" s="340">
        <f>IFERROR((((VLOOKUP($B45,'Unit costs'!$B$25:$I$66,8,FALSE))*$F28/60)),"")</f>
        <v>0</v>
      </c>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row>
    <row r="46" spans="2:40" x14ac:dyDescent="0.25">
      <c r="B46" s="10" t="str">
        <f t="shared" si="1"/>
        <v>Other personnel</v>
      </c>
      <c r="C46" s="340">
        <f>IFERROR((((VLOOKUP($B46,'Unit costs'!$B$25:$I$66,8,FALSE))*$C29/60)),"")</f>
        <v>0</v>
      </c>
      <c r="D46" s="340">
        <f>IFERROR((((VLOOKUP($B46,'Unit costs'!$B$25:$I$66,8,FALSE))*$D29/60)),"")</f>
        <v>0</v>
      </c>
      <c r="E46" s="340">
        <f>IFERROR((((VLOOKUP($B46,'Unit costs'!$B$25:$I$66,8,FALSE))*$E29/60)),"")</f>
        <v>0</v>
      </c>
      <c r="F46" s="340">
        <f>IFERROR((((VLOOKUP($B46,'Unit costs'!$B$25:$I$66,8,FALSE))*$F29/60)),"")</f>
        <v>0</v>
      </c>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row>
    <row r="47" spans="2:40" x14ac:dyDescent="0.25">
      <c r="B47" s="10" t="str">
        <f t="shared" si="1"/>
        <v>Other personnel</v>
      </c>
      <c r="C47" s="340">
        <f>IFERROR((((VLOOKUP($B47,'Unit costs'!$B$25:$I$66,8,FALSE))*$C30/60)),"")</f>
        <v>0</v>
      </c>
      <c r="D47" s="340">
        <f>IFERROR((((VLOOKUP($B47,'Unit costs'!$B$25:$I$66,8,FALSE))*$D30/60)),"")</f>
        <v>0</v>
      </c>
      <c r="E47" s="340">
        <f>IFERROR((((VLOOKUP($B47,'Unit costs'!$B$25:$I$66,8,FALSE))*$E30/60)),"")</f>
        <v>0</v>
      </c>
      <c r="F47" s="340">
        <f>IFERROR((((VLOOKUP($B47,'Unit costs'!$B$25:$I$66,8,FALSE))*$F30/60)),"")</f>
        <v>0</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2:40" x14ac:dyDescent="0.25">
      <c r="B48" s="10" t="str">
        <f t="shared" si="1"/>
        <v>Other personnel</v>
      </c>
      <c r="C48" s="340">
        <f>IFERROR((((VLOOKUP($B48,'Unit costs'!$B$25:$I$66,8,FALSE))*$C31/60)),"")</f>
        <v>0</v>
      </c>
      <c r="D48" s="340">
        <f>IFERROR((((VLOOKUP($B48,'Unit costs'!$B$25:$I$66,8,FALSE))*$D31/60)),"")</f>
        <v>0</v>
      </c>
      <c r="E48" s="340">
        <f>IFERROR((((VLOOKUP($B48,'Unit costs'!$B$25:$I$66,8,FALSE))*$E31/60)),"")</f>
        <v>0</v>
      </c>
      <c r="F48" s="340">
        <f>IFERROR((((VLOOKUP($B48,'Unit costs'!$B$25:$I$66,8,FALSE))*$F31/60)),"")</f>
        <v>0</v>
      </c>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1:50" x14ac:dyDescent="0.25">
      <c r="B49" s="55"/>
      <c r="C49" s="56"/>
      <c r="D49" s="56"/>
      <c r="E49" s="56"/>
      <c r="F49" s="56"/>
      <c r="G49" s="56"/>
      <c r="H49" s="229"/>
      <c r="I49" s="229"/>
      <c r="J49" s="229"/>
      <c r="K49" s="229"/>
      <c r="L49" s="229"/>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row>
    <row r="50" spans="1:50" ht="6.75" customHeight="1" x14ac:dyDescent="0.25">
      <c r="D50" s="230"/>
      <c r="E50" s="230"/>
      <c r="F50" s="230"/>
      <c r="G50" s="230"/>
      <c r="H50" s="230"/>
      <c r="I50" s="230"/>
      <c r="J50" s="231"/>
      <c r="K50" s="119"/>
      <c r="L50" s="119"/>
      <c r="M50" s="119"/>
      <c r="N50" s="119"/>
      <c r="O50" s="112"/>
      <c r="P50" s="112"/>
      <c r="Q50" s="112"/>
      <c r="R50" s="112"/>
      <c r="S50" s="112"/>
      <c r="T50" s="112"/>
      <c r="U50" s="112"/>
      <c r="V50" s="112"/>
      <c r="W50" s="112"/>
      <c r="X50" s="112"/>
      <c r="Y50" s="112"/>
      <c r="Z50" s="112"/>
      <c r="AA50" s="113"/>
      <c r="AB50" s="113"/>
      <c r="AC50" s="113"/>
      <c r="AD50" s="113"/>
      <c r="AE50" s="113"/>
      <c r="AF50" s="113"/>
      <c r="AG50" s="113"/>
      <c r="AH50" s="113"/>
      <c r="AI50" s="113"/>
      <c r="AJ50" s="113"/>
      <c r="AK50" s="113"/>
      <c r="AL50" s="113"/>
      <c r="AM50" s="113"/>
      <c r="AN50" s="113"/>
      <c r="AO50" s="113"/>
      <c r="AP50" s="113"/>
      <c r="AQ50" s="113"/>
      <c r="AR50" s="113"/>
      <c r="AS50" s="113"/>
      <c r="AT50" s="113"/>
      <c r="AU50" s="113"/>
    </row>
    <row r="51" spans="1:50" ht="25.9" customHeight="1" x14ac:dyDescent="0.25">
      <c r="B51" s="445" t="s">
        <v>73</v>
      </c>
      <c r="C51" s="445"/>
      <c r="D51" s="445"/>
      <c r="E51" s="445"/>
      <c r="F51" s="445"/>
      <c r="G51" s="445"/>
      <c r="H51" s="445"/>
      <c r="I51" s="445"/>
      <c r="J51" s="445"/>
      <c r="K51" s="445"/>
      <c r="L51" s="445"/>
      <c r="M51" s="119"/>
      <c r="N51" s="119"/>
      <c r="O51" s="119"/>
      <c r="P51" s="119"/>
      <c r="Q51" s="112"/>
      <c r="R51" s="112"/>
      <c r="S51" s="112"/>
      <c r="T51" s="112"/>
      <c r="U51" s="112"/>
      <c r="V51" s="112"/>
      <c r="W51" s="112"/>
      <c r="X51" s="112"/>
      <c r="Y51" s="112"/>
      <c r="Z51" s="112"/>
      <c r="AA51" s="112"/>
      <c r="AB51" s="112"/>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row>
    <row r="52" spans="1:50" s="112" customFormat="1" x14ac:dyDescent="0.25">
      <c r="B52" s="120"/>
      <c r="C52" s="120"/>
      <c r="D52" s="230"/>
      <c r="E52" s="230"/>
      <c r="F52" s="230"/>
      <c r="G52" s="230"/>
      <c r="H52" s="230"/>
      <c r="I52" s="230"/>
      <c r="J52" s="231"/>
      <c r="K52" s="231"/>
      <c r="L52" s="231"/>
      <c r="M52" s="158"/>
      <c r="N52" s="158"/>
      <c r="O52" s="158"/>
      <c r="P52" s="158"/>
    </row>
    <row r="53" spans="1:50" ht="15.75" thickBot="1" x14ac:dyDescent="0.3">
      <c r="B53" s="446" t="s">
        <v>485</v>
      </c>
      <c r="C53" s="446"/>
      <c r="D53" s="446"/>
      <c r="E53" s="446"/>
      <c r="F53" s="446"/>
      <c r="G53" s="232"/>
      <c r="H53" s="232"/>
      <c r="I53" s="232"/>
      <c r="J53" s="232"/>
      <c r="K53" s="232"/>
      <c r="L53" s="232"/>
      <c r="M53" s="231"/>
      <c r="N53" s="231"/>
      <c r="O53" s="231"/>
      <c r="P53" s="231"/>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row>
    <row r="54" spans="1:50" ht="45.6" customHeight="1" x14ac:dyDescent="0.25">
      <c r="A54" s="120"/>
      <c r="B54" s="233" t="s">
        <v>484</v>
      </c>
      <c r="C54" s="246" t="str">
        <f>'Set up'!B18</f>
        <v>Abbott M2000 RealTime</v>
      </c>
      <c r="D54" s="246" t="str">
        <f>'Set up'!B19</f>
        <v>Abbott M2000 RealTime</v>
      </c>
      <c r="E54" s="246" t="str">
        <f>'Set up'!B20</f>
        <v>Roche COBAS Ampliprep/TaqMan 48</v>
      </c>
      <c r="F54" s="246" t="str">
        <f>'Set up'!B21</f>
        <v>Roche COBAS Ampliprep/TaqMan 48</v>
      </c>
      <c r="G54" s="231"/>
    </row>
    <row r="55" spans="1:50" ht="12.75" customHeight="1" x14ac:dyDescent="0.25">
      <c r="A55" s="120"/>
      <c r="B55" s="235" t="s">
        <v>44</v>
      </c>
      <c r="C55" s="351">
        <f>'Set up'!$D$18</f>
        <v>46500</v>
      </c>
      <c r="D55" s="351">
        <f>'Set up'!$D$19</f>
        <v>46500</v>
      </c>
      <c r="E55" s="351">
        <f>'Set up'!$D$20</f>
        <v>42000</v>
      </c>
      <c r="F55" s="351">
        <f>'Set up'!$D$21</f>
        <v>42000</v>
      </c>
      <c r="G55" s="231"/>
    </row>
    <row r="56" spans="1:50" x14ac:dyDescent="0.25">
      <c r="A56" s="120"/>
      <c r="B56" s="235" t="s">
        <v>42</v>
      </c>
      <c r="C56" s="351">
        <f>'Set up'!$D$18</f>
        <v>46500</v>
      </c>
      <c r="D56" s="351">
        <f>'Set up'!$D$19</f>
        <v>46500</v>
      </c>
      <c r="E56" s="351">
        <f>'Set up'!$D$20</f>
        <v>42000</v>
      </c>
      <c r="F56" s="351">
        <f>'Set up'!$D$21</f>
        <v>42000</v>
      </c>
      <c r="G56" s="231"/>
    </row>
    <row r="57" spans="1:50" x14ac:dyDescent="0.25">
      <c r="A57" s="120"/>
      <c r="B57" s="235" t="s">
        <v>62</v>
      </c>
      <c r="C57" s="351">
        <f>'Set up'!$D$18</f>
        <v>46500</v>
      </c>
      <c r="D57" s="351">
        <f>'Set up'!$D$19</f>
        <v>46500</v>
      </c>
      <c r="E57" s="351">
        <f>'Set up'!$D$20</f>
        <v>42000</v>
      </c>
      <c r="F57" s="351">
        <f>'Set up'!$D$21</f>
        <v>42000</v>
      </c>
      <c r="G57" s="231"/>
    </row>
    <row r="58" spans="1:50" x14ac:dyDescent="0.25">
      <c r="B58" s="235" t="s">
        <v>66</v>
      </c>
      <c r="C58" s="351">
        <f>'Set up'!$D$18</f>
        <v>46500</v>
      </c>
      <c r="D58" s="351">
        <f>'Set up'!$D$19</f>
        <v>46500</v>
      </c>
      <c r="E58" s="351">
        <f>'Set up'!$D$20</f>
        <v>42000</v>
      </c>
      <c r="F58" s="351">
        <f>'Set up'!$D$21</f>
        <v>42000</v>
      </c>
    </row>
    <row r="59" spans="1:50" x14ac:dyDescent="0.25">
      <c r="B59" s="235" t="s">
        <v>50</v>
      </c>
      <c r="C59" s="351">
        <f>'Set up'!$D$18</f>
        <v>46500</v>
      </c>
      <c r="D59" s="351">
        <f>'Set up'!$D$19</f>
        <v>46500</v>
      </c>
      <c r="E59" s="351">
        <f>'Set up'!$D$20</f>
        <v>42000</v>
      </c>
      <c r="F59" s="351">
        <f>'Set up'!$D$21</f>
        <v>42000</v>
      </c>
    </row>
    <row r="60" spans="1:50" x14ac:dyDescent="0.25">
      <c r="B60" s="235" t="s">
        <v>53</v>
      </c>
      <c r="C60" s="351">
        <f>'Set up'!$D$18</f>
        <v>46500</v>
      </c>
      <c r="D60" s="351">
        <f>'Set up'!$D$19</f>
        <v>46500</v>
      </c>
      <c r="E60" s="351">
        <f>'Set up'!$D$20</f>
        <v>42000</v>
      </c>
      <c r="F60" s="351">
        <f>'Set up'!$D$21</f>
        <v>42000</v>
      </c>
    </row>
    <row r="61" spans="1:50" x14ac:dyDescent="0.25">
      <c r="B61" s="235" t="s">
        <v>86</v>
      </c>
      <c r="C61" s="351">
        <f>'Set up'!$D$18</f>
        <v>46500</v>
      </c>
      <c r="D61" s="351">
        <f>'Set up'!$D$19</f>
        <v>46500</v>
      </c>
      <c r="E61" s="351">
        <f>'Set up'!$D$20</f>
        <v>42000</v>
      </c>
      <c r="F61" s="351">
        <f>'Set up'!$D$21</f>
        <v>42000</v>
      </c>
    </row>
    <row r="62" spans="1:50" x14ac:dyDescent="0.25">
      <c r="B62" s="235" t="s">
        <v>86</v>
      </c>
      <c r="C62" s="351">
        <f>'Set up'!$D$18</f>
        <v>46500</v>
      </c>
      <c r="D62" s="351">
        <f>'Set up'!$D$19</f>
        <v>46500</v>
      </c>
      <c r="E62" s="351">
        <f>'Set up'!$D$20</f>
        <v>42000</v>
      </c>
      <c r="F62" s="351">
        <f>'Set up'!$D$21</f>
        <v>42000</v>
      </c>
    </row>
    <row r="63" spans="1:50" x14ac:dyDescent="0.25">
      <c r="B63" s="235" t="s">
        <v>86</v>
      </c>
      <c r="C63" s="351">
        <f>'Set up'!$D$18</f>
        <v>46500</v>
      </c>
      <c r="D63" s="351">
        <f>'Set up'!$D$19</f>
        <v>46500</v>
      </c>
      <c r="E63" s="351">
        <f>'Set up'!$D$20</f>
        <v>42000</v>
      </c>
      <c r="F63" s="351">
        <f>'Set up'!$D$21</f>
        <v>42000</v>
      </c>
    </row>
    <row r="64" spans="1:50" x14ac:dyDescent="0.25">
      <c r="B64" s="235" t="s">
        <v>86</v>
      </c>
      <c r="C64" s="351">
        <f>'Set up'!$D$18</f>
        <v>46500</v>
      </c>
      <c r="D64" s="351">
        <f>'Set up'!$D$19</f>
        <v>46500</v>
      </c>
      <c r="E64" s="351">
        <f>'Set up'!$D$20</f>
        <v>42000</v>
      </c>
      <c r="F64" s="351">
        <f>'Set up'!$D$21</f>
        <v>42000</v>
      </c>
    </row>
    <row r="65" spans="2:6" x14ac:dyDescent="0.25">
      <c r="B65" s="235" t="s">
        <v>86</v>
      </c>
      <c r="C65" s="351">
        <f>'Set up'!$D$18</f>
        <v>46500</v>
      </c>
      <c r="D65" s="351">
        <f>'Set up'!$D$19</f>
        <v>46500</v>
      </c>
      <c r="E65" s="351">
        <f>'Set up'!$D$20</f>
        <v>42000</v>
      </c>
      <c r="F65" s="351">
        <f>'Set up'!$D$21</f>
        <v>42000</v>
      </c>
    </row>
    <row r="66" spans="2:6" x14ac:dyDescent="0.25">
      <c r="B66" s="235" t="s">
        <v>86</v>
      </c>
      <c r="C66" s="351">
        <f>'Set up'!$D$18</f>
        <v>46500</v>
      </c>
      <c r="D66" s="351">
        <f>'Set up'!$D$19</f>
        <v>46500</v>
      </c>
      <c r="E66" s="351">
        <f>'Set up'!$D$20</f>
        <v>42000</v>
      </c>
      <c r="F66" s="351">
        <f>'Set up'!$D$21</f>
        <v>42000</v>
      </c>
    </row>
    <row r="67" spans="2:6" x14ac:dyDescent="0.25">
      <c r="B67" s="235" t="s">
        <v>86</v>
      </c>
      <c r="C67" s="351">
        <f>'Set up'!$D$18</f>
        <v>46500</v>
      </c>
      <c r="D67" s="351">
        <f>'Set up'!$D$19</f>
        <v>46500</v>
      </c>
      <c r="E67" s="351">
        <f>'Set up'!$D$20</f>
        <v>42000</v>
      </c>
      <c r="F67" s="351">
        <f>'Set up'!$D$21</f>
        <v>42000</v>
      </c>
    </row>
    <row r="68" spans="2:6" x14ac:dyDescent="0.25">
      <c r="B68" s="235" t="s">
        <v>86</v>
      </c>
      <c r="C68" s="351">
        <f>'Set up'!$D$18</f>
        <v>46500</v>
      </c>
      <c r="D68" s="351">
        <f>'Set up'!$D$19</f>
        <v>46500</v>
      </c>
      <c r="E68" s="351">
        <f>'Set up'!$D$20</f>
        <v>42000</v>
      </c>
      <c r="F68" s="351">
        <f>'Set up'!$D$21</f>
        <v>42000</v>
      </c>
    </row>
    <row r="69" spans="2:6" x14ac:dyDescent="0.25">
      <c r="B69" s="235" t="s">
        <v>86</v>
      </c>
      <c r="C69" s="351">
        <f>'Set up'!$D$18</f>
        <v>46500</v>
      </c>
      <c r="D69" s="351">
        <f>'Set up'!$D$19</f>
        <v>46500</v>
      </c>
      <c r="E69" s="351">
        <f>'Set up'!$D$20</f>
        <v>42000</v>
      </c>
      <c r="F69" s="351">
        <f>'Set up'!$D$21</f>
        <v>42000</v>
      </c>
    </row>
    <row r="70" spans="2:6" x14ac:dyDescent="0.25">
      <c r="B70" s="231"/>
      <c r="C70" s="231"/>
      <c r="D70" s="231"/>
      <c r="E70" s="231"/>
      <c r="F70" s="231"/>
    </row>
    <row r="71" spans="2:6" ht="15.75" thickBot="1" x14ac:dyDescent="0.3">
      <c r="B71" s="446" t="s">
        <v>509</v>
      </c>
      <c r="C71" s="446"/>
      <c r="D71" s="446"/>
      <c r="E71" s="446"/>
      <c r="F71" s="446"/>
    </row>
    <row r="72" spans="2:6" x14ac:dyDescent="0.25">
      <c r="B72" s="237" t="str">
        <f>B55</f>
        <v>Centrifuge</v>
      </c>
      <c r="C72" s="352">
        <f>IFERROR((VLOOKUP($B72,'Unit costs'!$B$178:$F$206,5,FALSE)/$C55),"")</f>
        <v>2.0903225806451611E-2</v>
      </c>
      <c r="D72" s="352">
        <f>IFERROR((VLOOKUP($B72,'Unit costs'!$B$178:$F$206,5,FALSE)/$D55),"")</f>
        <v>2.0903225806451611E-2</v>
      </c>
      <c r="E72" s="352">
        <f>IFERROR((VLOOKUP($B72,'Unit costs'!$B$178:$F$206,5,FALSE)/$E55),"")</f>
        <v>2.3142857142857142E-2</v>
      </c>
      <c r="F72" s="352">
        <f>IFERROR((VLOOKUP($B72,'Unit costs'!$B$178:$F$206,5,FALSE)/$F55),"")</f>
        <v>2.3142857142857142E-2</v>
      </c>
    </row>
    <row r="73" spans="2:6" x14ac:dyDescent="0.25">
      <c r="B73" s="237" t="str">
        <f t="shared" ref="B73:B86" si="2">B56</f>
        <v>Samples rack</v>
      </c>
      <c r="C73" s="352">
        <f>IFERROR((VLOOKUP($B73,'Unit costs'!$B$178:$F$206,5,FALSE)/$C56),"")</f>
        <v>6.4516129032258064E-4</v>
      </c>
      <c r="D73" s="352">
        <f>IFERROR((VLOOKUP($B73,'Unit costs'!$B$178:$F$206,5,FALSE)/$D56),"")</f>
        <v>6.4516129032258064E-4</v>
      </c>
      <c r="E73" s="352">
        <f>IFERROR((VLOOKUP($B73,'Unit costs'!$B$178:$F$206,5,FALSE)/$E56),"")</f>
        <v>7.1428571428571429E-4</v>
      </c>
      <c r="F73" s="352">
        <f>IFERROR((VLOOKUP($B73,'Unit costs'!$B$178:$F$206,5,FALSE)/$F56),"")</f>
        <v>7.1428571428571429E-4</v>
      </c>
    </row>
    <row r="74" spans="2:6" x14ac:dyDescent="0.25">
      <c r="B74" s="237" t="str">
        <f t="shared" si="2"/>
        <v>Landline Telephones</v>
      </c>
      <c r="C74" s="352">
        <f>IFERROR((VLOOKUP($B74,'Unit costs'!$B$178:$F$206,5,FALSE)/$C57),"")</f>
        <v>7.5268817204301081E-5</v>
      </c>
      <c r="D74" s="352">
        <f>IFERROR((VLOOKUP($B74,'Unit costs'!$B$178:$F$206,5,FALSE)/$D57),"")</f>
        <v>7.5268817204301081E-5</v>
      </c>
      <c r="E74" s="352">
        <f>IFERROR((VLOOKUP($B74,'Unit costs'!$B$178:$F$206,5,FALSE)/$E57),"")</f>
        <v>8.3333333333333331E-5</v>
      </c>
      <c r="F74" s="352">
        <f>IFERROR((VLOOKUP($B74,'Unit costs'!$B$178:$F$206,5,FALSE)/$F57),"")</f>
        <v>8.3333333333333331E-5</v>
      </c>
    </row>
    <row r="75" spans="2:6" x14ac:dyDescent="0.25">
      <c r="B75" s="237" t="str">
        <f t="shared" si="2"/>
        <v>Emergency battery</v>
      </c>
      <c r="C75" s="352">
        <f>IFERROR((VLOOKUP($B75,'Unit costs'!$B$178:$F$206,5,FALSE)/$C58),"")</f>
        <v>5.1612903225806452E-3</v>
      </c>
      <c r="D75" s="352">
        <f>IFERROR((VLOOKUP($B75,'Unit costs'!$B$178:$F$206,5,FALSE)/$D58),"")</f>
        <v>5.1612903225806452E-3</v>
      </c>
      <c r="E75" s="352">
        <f>IFERROR((VLOOKUP($B75,'Unit costs'!$B$178:$F$206,5,FALSE)/$E58),"")</f>
        <v>5.7142857142857143E-3</v>
      </c>
      <c r="F75" s="352">
        <f>IFERROR((VLOOKUP($B75,'Unit costs'!$B$178:$F$206,5,FALSE)/$F58),"")</f>
        <v>5.7142857142857143E-3</v>
      </c>
    </row>
    <row r="76" spans="2:6" x14ac:dyDescent="0.25">
      <c r="B76" s="237" t="str">
        <f t="shared" si="2"/>
        <v>Refrigerator</v>
      </c>
      <c r="C76" s="352">
        <f>IFERROR((VLOOKUP($B76,'Unit costs'!$B$178:$F$206,5,FALSE)/$C59),"")</f>
        <v>8.0881720430107523E-3</v>
      </c>
      <c r="D76" s="352">
        <f>IFERROR((VLOOKUP($B76,'Unit costs'!$B$178:$F$206,5,FALSE)/$D59),"")</f>
        <v>8.0881720430107523E-3</v>
      </c>
      <c r="E76" s="352">
        <f>IFERROR((VLOOKUP($B76,'Unit costs'!$B$178:$F$206,5,FALSE)/$E59),"")</f>
        <v>8.9547619047619046E-3</v>
      </c>
      <c r="F76" s="352">
        <f>IFERROR((VLOOKUP($B76,'Unit costs'!$B$178:$F$206,5,FALSE)/$F59),"")</f>
        <v>8.9547619047619046E-3</v>
      </c>
    </row>
    <row r="77" spans="2:6" x14ac:dyDescent="0.25">
      <c r="B77" s="237" t="str">
        <f t="shared" si="2"/>
        <v>Bio-safety cabinet</v>
      </c>
      <c r="C77" s="352">
        <f>IFERROR((VLOOKUP($B77,'Unit costs'!$B$178:$F$206,5,FALSE)/$C60),"")</f>
        <v>4.3010752688172043E-3</v>
      </c>
      <c r="D77" s="352">
        <f>IFERROR((VLOOKUP($B77,'Unit costs'!$B$178:$F$206,5,FALSE)/$D60),"")</f>
        <v>4.3010752688172043E-3</v>
      </c>
      <c r="E77" s="352">
        <f>IFERROR((VLOOKUP($B77,'Unit costs'!$B$178:$F$206,5,FALSE)/$E60),"")</f>
        <v>4.7619047619047623E-3</v>
      </c>
      <c r="F77" s="352">
        <f>IFERROR((VLOOKUP($B77,'Unit costs'!$B$178:$F$206,5,FALSE)/$F60),"")</f>
        <v>4.7619047619047623E-3</v>
      </c>
    </row>
    <row r="78" spans="2:6" x14ac:dyDescent="0.25">
      <c r="B78" s="237" t="str">
        <f t="shared" si="2"/>
        <v>Other</v>
      </c>
      <c r="C78" s="352" t="str">
        <f>IFERROR((VLOOKUP($B78,'Unit costs'!$B$178:$F$206,5,FALSE)/$C61),"")</f>
        <v/>
      </c>
      <c r="D78" s="352" t="str">
        <f>IFERROR((VLOOKUP($B78,'Unit costs'!$B$178:$F$206,5,FALSE)/$D61),"")</f>
        <v/>
      </c>
      <c r="E78" s="352" t="str">
        <f>IFERROR((VLOOKUP($B78,'Unit costs'!$B$178:$F$206,5,FALSE)/$E61),"")</f>
        <v/>
      </c>
      <c r="F78" s="352" t="str">
        <f>IFERROR((VLOOKUP($B78,'Unit costs'!$B$178:$F$206,5,FALSE)/$F61),"")</f>
        <v/>
      </c>
    </row>
    <row r="79" spans="2:6" x14ac:dyDescent="0.25">
      <c r="B79" s="237" t="str">
        <f t="shared" si="2"/>
        <v>Other</v>
      </c>
      <c r="C79" s="352" t="str">
        <f>IFERROR((VLOOKUP($B79,'Unit costs'!$B$178:$F$206,5,FALSE)/$C62),"")</f>
        <v/>
      </c>
      <c r="D79" s="352" t="str">
        <f>IFERROR((VLOOKUP($B79,'Unit costs'!$B$178:$F$206,5,FALSE)/$D62),"")</f>
        <v/>
      </c>
      <c r="E79" s="352" t="str">
        <f>IFERROR((VLOOKUP($B79,'Unit costs'!$B$178:$F$206,5,FALSE)/$E62),"")</f>
        <v/>
      </c>
      <c r="F79" s="352" t="str">
        <f>IFERROR((VLOOKUP($B79,'Unit costs'!$B$178:$F$206,5,FALSE)/$F62),"")</f>
        <v/>
      </c>
    </row>
    <row r="80" spans="2:6" x14ac:dyDescent="0.25">
      <c r="B80" s="237" t="str">
        <f t="shared" si="2"/>
        <v>Other</v>
      </c>
      <c r="C80" s="352" t="str">
        <f>IFERROR((VLOOKUP($B80,'Unit costs'!$B$178:$F$206,5,FALSE)/$C63),"")</f>
        <v/>
      </c>
      <c r="D80" s="352" t="str">
        <f>IFERROR((VLOOKUP($B80,'Unit costs'!$B$178:$F$206,5,FALSE)/$D63),"")</f>
        <v/>
      </c>
      <c r="E80" s="352" t="str">
        <f>IFERROR((VLOOKUP($B80,'Unit costs'!$B$178:$F$206,5,FALSE)/$E63),"")</f>
        <v/>
      </c>
      <c r="F80" s="352" t="str">
        <f>IFERROR((VLOOKUP($B80,'Unit costs'!$B$178:$F$206,5,FALSE)/$F63),"")</f>
        <v/>
      </c>
    </row>
    <row r="81" spans="2:16" x14ac:dyDescent="0.25">
      <c r="B81" s="237" t="str">
        <f t="shared" si="2"/>
        <v>Other</v>
      </c>
      <c r="C81" s="352" t="str">
        <f>IFERROR((VLOOKUP($B81,'Unit costs'!$B$178:$F$206,5,FALSE)/$C64),"")</f>
        <v/>
      </c>
      <c r="D81" s="352" t="str">
        <f>IFERROR((VLOOKUP($B81,'Unit costs'!$B$178:$F$206,5,FALSE)/$D64),"")</f>
        <v/>
      </c>
      <c r="E81" s="352" t="str">
        <f>IFERROR((VLOOKUP($B81,'Unit costs'!$B$178:$F$206,5,FALSE)/$E64),"")</f>
        <v/>
      </c>
      <c r="F81" s="352" t="str">
        <f>IFERROR((VLOOKUP($B81,'Unit costs'!$B$178:$F$206,5,FALSE)/$F64),"")</f>
        <v/>
      </c>
    </row>
    <row r="82" spans="2:16" x14ac:dyDescent="0.25">
      <c r="B82" s="237" t="str">
        <f t="shared" si="2"/>
        <v>Other</v>
      </c>
      <c r="C82" s="352" t="str">
        <f>IFERROR((VLOOKUP($B82,'Unit costs'!$B$178:$F$206,5,FALSE)/$C65),"")</f>
        <v/>
      </c>
      <c r="D82" s="352" t="str">
        <f>IFERROR((VLOOKUP($B82,'Unit costs'!$B$178:$F$206,5,FALSE)/$D65),"")</f>
        <v/>
      </c>
      <c r="E82" s="352" t="str">
        <f>IFERROR((VLOOKUP($B82,'Unit costs'!$B$178:$F$206,5,FALSE)/$E65),"")</f>
        <v/>
      </c>
      <c r="F82" s="352" t="str">
        <f>IFERROR((VLOOKUP($B82,'Unit costs'!$B$178:$F$206,5,FALSE)/$F65),"")</f>
        <v/>
      </c>
    </row>
    <row r="83" spans="2:16" x14ac:dyDescent="0.25">
      <c r="B83" s="237" t="str">
        <f t="shared" si="2"/>
        <v>Other</v>
      </c>
      <c r="C83" s="352" t="str">
        <f>IFERROR((VLOOKUP($B83,'Unit costs'!$B$178:$F$206,5,FALSE)/$C66),"")</f>
        <v/>
      </c>
      <c r="D83" s="352" t="str">
        <f>IFERROR((VLOOKUP($B83,'Unit costs'!$B$178:$F$206,5,FALSE)/$D66),"")</f>
        <v/>
      </c>
      <c r="E83" s="352" t="str">
        <f>IFERROR((VLOOKUP($B83,'Unit costs'!$B$178:$F$206,5,FALSE)/$E66),"")</f>
        <v/>
      </c>
      <c r="F83" s="352" t="str">
        <f>IFERROR((VLOOKUP($B83,'Unit costs'!$B$178:$F$206,5,FALSE)/$F66),"")</f>
        <v/>
      </c>
    </row>
    <row r="84" spans="2:16" x14ac:dyDescent="0.25">
      <c r="B84" s="237" t="str">
        <f t="shared" si="2"/>
        <v>Other</v>
      </c>
      <c r="C84" s="352" t="str">
        <f>IFERROR((VLOOKUP($B84,'Unit costs'!$B$178:$F$206,5,FALSE)/$C67),"")</f>
        <v/>
      </c>
      <c r="D84" s="352" t="str">
        <f>IFERROR((VLOOKUP($B84,'Unit costs'!$B$178:$F$206,5,FALSE)/$D67),"")</f>
        <v/>
      </c>
      <c r="E84" s="352" t="str">
        <f>IFERROR((VLOOKUP($B84,'Unit costs'!$B$178:$F$206,5,FALSE)/$E67),"")</f>
        <v/>
      </c>
      <c r="F84" s="352" t="str">
        <f>IFERROR((VLOOKUP($B84,'Unit costs'!$B$178:$F$206,5,FALSE)/$F67),"")</f>
        <v/>
      </c>
    </row>
    <row r="85" spans="2:16" x14ac:dyDescent="0.25">
      <c r="B85" s="237" t="str">
        <f t="shared" si="2"/>
        <v>Other</v>
      </c>
      <c r="C85" s="352" t="str">
        <f>IFERROR((VLOOKUP($B85,'Unit costs'!$B$178:$F$206,5,FALSE)/$C68),"")</f>
        <v/>
      </c>
      <c r="D85" s="352" t="str">
        <f>IFERROR((VLOOKUP($B85,'Unit costs'!$B$178:$F$206,5,FALSE)/$D68),"")</f>
        <v/>
      </c>
      <c r="E85" s="352" t="str">
        <f>IFERROR((VLOOKUP($B85,'Unit costs'!$B$178:$F$206,5,FALSE)/$E68),"")</f>
        <v/>
      </c>
      <c r="F85" s="352" t="str">
        <f>IFERROR((VLOOKUP($B85,'Unit costs'!$B$178:$F$206,5,FALSE)/$F68),"")</f>
        <v/>
      </c>
    </row>
    <row r="86" spans="2:16" x14ac:dyDescent="0.25">
      <c r="B86" s="237" t="str">
        <f t="shared" si="2"/>
        <v>Other</v>
      </c>
      <c r="C86" s="352" t="str">
        <f>IFERROR((VLOOKUP($B86,'Unit costs'!$B$178:$F$206,5,FALSE)/$C69),"")</f>
        <v/>
      </c>
      <c r="D86" s="352" t="str">
        <f>IFERROR((VLOOKUP($B86,'Unit costs'!$B$178:$F$206,5,FALSE)/$D69),"")</f>
        <v/>
      </c>
      <c r="E86" s="352" t="str">
        <f>IFERROR((VLOOKUP($B86,'Unit costs'!$B$178:$F$206,5,FALSE)/$E69),"")</f>
        <v/>
      </c>
      <c r="F86" s="352" t="str">
        <f>IFERROR((VLOOKUP($B86,'Unit costs'!$B$178:$F$206,5,FALSE)/$F69),"")</f>
        <v/>
      </c>
    </row>
    <row r="87" spans="2:16" x14ac:dyDescent="0.25">
      <c r="B87" s="231"/>
      <c r="C87" s="231"/>
      <c r="D87" s="231"/>
      <c r="E87" s="231"/>
      <c r="F87" s="231"/>
      <c r="G87" s="231"/>
      <c r="H87" s="236"/>
      <c r="I87" s="236"/>
      <c r="J87" s="236"/>
      <c r="K87" s="236"/>
      <c r="L87" s="236"/>
    </row>
    <row r="89" spans="2:16" ht="22.9" customHeight="1" x14ac:dyDescent="0.25">
      <c r="B89" s="445" t="s">
        <v>74</v>
      </c>
      <c r="C89" s="445"/>
      <c r="D89" s="445"/>
      <c r="E89" s="445"/>
      <c r="F89" s="445"/>
      <c r="G89" s="445"/>
      <c r="H89" s="445"/>
      <c r="I89" s="445"/>
      <c r="J89" s="445"/>
      <c r="K89" s="445"/>
      <c r="L89" s="445"/>
    </row>
    <row r="90" spans="2:16" x14ac:dyDescent="0.25">
      <c r="B90" s="147"/>
      <c r="C90" s="147"/>
      <c r="D90" s="147"/>
      <c r="E90" s="147"/>
      <c r="F90" s="147"/>
      <c r="G90" s="147"/>
      <c r="H90" s="147"/>
      <c r="I90" s="147"/>
      <c r="J90" s="158"/>
      <c r="K90" s="158"/>
      <c r="L90" s="158"/>
    </row>
    <row r="91" spans="2:16" s="112" customFormat="1" ht="15.75" thickBot="1" x14ac:dyDescent="0.3">
      <c r="B91" s="463" t="str">
        <f>'Blood sample &amp; packaging'!B91:G91</f>
        <v>NUMBER OF ITEMS NEEDED PER TEST</v>
      </c>
      <c r="C91" s="463"/>
      <c r="D91" s="463"/>
      <c r="E91" s="463"/>
      <c r="F91" s="463"/>
      <c r="G91" s="463"/>
      <c r="H91" s="120"/>
      <c r="I91" s="120"/>
      <c r="J91" s="120"/>
      <c r="K91" s="120"/>
      <c r="L91" s="120"/>
      <c r="M91" s="158"/>
      <c r="N91" s="158"/>
      <c r="O91" s="158"/>
      <c r="P91" s="158"/>
    </row>
    <row r="92" spans="2:16" ht="45.6" customHeight="1" thickBot="1" x14ac:dyDescent="0.3">
      <c r="B92" s="139" t="s">
        <v>231</v>
      </c>
      <c r="C92" s="247" t="str">
        <f>'Set up'!B18</f>
        <v>Abbott M2000 RealTime</v>
      </c>
      <c r="D92" s="247" t="str">
        <f>'Set up'!B19</f>
        <v>Abbott M2000 RealTime</v>
      </c>
      <c r="E92" s="247" t="str">
        <f>'Set up'!B20</f>
        <v>Roche COBAS Ampliprep/TaqMan 48</v>
      </c>
      <c r="F92" s="247" t="str">
        <f>'Set up'!B21</f>
        <v>Roche COBAS Ampliprep/TaqMan 48</v>
      </c>
    </row>
    <row r="93" spans="2:16" ht="15.75" thickBot="1" x14ac:dyDescent="0.3">
      <c r="B93" s="239" t="s">
        <v>28</v>
      </c>
      <c r="C93" s="408">
        <f>IFERROR(VLOOKUP($B93,'Unit costs'!$B$86:$E$173,4,FALSE),"")</f>
        <v>2</v>
      </c>
      <c r="D93" s="402">
        <f>IFERROR(VLOOKUP($B93,'Unit costs'!$B$86:$E$173,4,FALSE),"")</f>
        <v>2</v>
      </c>
      <c r="E93" s="402">
        <f>IFERROR(VLOOKUP($B93,'Unit costs'!$B$86:$E$173,4,FALSE),"")</f>
        <v>2</v>
      </c>
      <c r="F93" s="402">
        <f>IFERROR(VLOOKUP($B93,'Unit costs'!$B$86:$E$173,4,FALSE),"")</f>
        <v>2</v>
      </c>
    </row>
    <row r="94" spans="2:16" ht="15.75" thickBot="1" x14ac:dyDescent="0.3">
      <c r="B94" s="184" t="s">
        <v>246</v>
      </c>
      <c r="C94" s="408">
        <f>IFERROR(VLOOKUP($B94,'Unit costs'!$B$86:$E$173,4,FALSE),"")</f>
        <v>5.0000000000000001E-3</v>
      </c>
      <c r="D94" s="402">
        <f>IFERROR(VLOOKUP($B94,'Unit costs'!$B$86:$E$173,4,FALSE),"")</f>
        <v>5.0000000000000001E-3</v>
      </c>
      <c r="E94" s="402">
        <f>IFERROR(VLOOKUP($B94,'Unit costs'!$B$86:$E$173,4,FALSE),"")</f>
        <v>5.0000000000000001E-3</v>
      </c>
      <c r="F94" s="402">
        <f>IFERROR(VLOOKUP($B94,'Unit costs'!$B$86:$E$173,4,FALSE),"")</f>
        <v>5.0000000000000001E-3</v>
      </c>
    </row>
    <row r="95" spans="2:16" ht="15.75" thickBot="1" x14ac:dyDescent="0.3">
      <c r="B95" s="184" t="s">
        <v>240</v>
      </c>
      <c r="C95" s="408">
        <f>IFERROR(VLOOKUP($B95,'Unit costs'!$B$86:$E$173,4,FALSE),"")</f>
        <v>1.0416666666666666E-2</v>
      </c>
      <c r="D95" s="402">
        <f>IFERROR(VLOOKUP($B95,'Unit costs'!$B$86:$E$173,4,FALSE),"")</f>
        <v>1.0416666666666666E-2</v>
      </c>
      <c r="E95" s="402">
        <f>IFERROR(VLOOKUP($B95,'Unit costs'!$B$86:$E$173,4,FALSE),"")</f>
        <v>1.0416666666666666E-2</v>
      </c>
      <c r="F95" s="402">
        <f>IFERROR(VLOOKUP($B95,'Unit costs'!$B$86:$E$173,4,FALSE),"")</f>
        <v>1.0416666666666666E-2</v>
      </c>
    </row>
    <row r="96" spans="2:16" ht="15.75" thickBot="1" x14ac:dyDescent="0.3">
      <c r="B96" s="184" t="s">
        <v>270</v>
      </c>
      <c r="C96" s="408">
        <f>IFERROR(VLOOKUP($B96,'Unit costs'!$B$86:$E$173,4,FALSE),"")</f>
        <v>1</v>
      </c>
      <c r="D96" s="402">
        <f>IFERROR(VLOOKUP($B96,'Unit costs'!$B$86:$E$173,4,FALSE),"")</f>
        <v>1</v>
      </c>
      <c r="E96" s="402">
        <f>IFERROR(VLOOKUP($B96,'Unit costs'!$B$86:$E$173,4,FALSE),"")</f>
        <v>1</v>
      </c>
      <c r="F96" s="402">
        <f>IFERROR(VLOOKUP($B96,'Unit costs'!$B$86:$E$173,4,FALSE),"")</f>
        <v>1</v>
      </c>
    </row>
    <row r="97" spans="2:6" ht="15.75" thickBot="1" x14ac:dyDescent="0.3">
      <c r="B97" s="184" t="s">
        <v>242</v>
      </c>
      <c r="C97" s="408">
        <f>IFERROR(VLOOKUP($B97,'Unit costs'!$B$86:$E$173,4,FALSE),"")</f>
        <v>2.8735632183908045E-5</v>
      </c>
      <c r="D97" s="402">
        <f>IFERROR(VLOOKUP($B97,'Unit costs'!$B$86:$E$173,4,FALSE),"")</f>
        <v>2.8735632183908045E-5</v>
      </c>
      <c r="E97" s="402">
        <f>IFERROR(VLOOKUP($B97,'Unit costs'!$B$86:$E$173,4,FALSE),"")</f>
        <v>2.8735632183908045E-5</v>
      </c>
      <c r="F97" s="402">
        <f>IFERROR(VLOOKUP($B97,'Unit costs'!$B$86:$E$173,4,FALSE),"")</f>
        <v>2.8735632183908045E-5</v>
      </c>
    </row>
    <row r="98" spans="2:6" ht="15.75" thickBot="1" x14ac:dyDescent="0.3">
      <c r="B98" s="184" t="s">
        <v>252</v>
      </c>
      <c r="C98" s="408">
        <f>IFERROR(VLOOKUP($B98,'Unit costs'!$B$86:$E$173,4,FALSE),"")</f>
        <v>1</v>
      </c>
      <c r="D98" s="402">
        <f>IFERROR(VLOOKUP($B98,'Unit costs'!$B$86:$E$173,4,FALSE),"")</f>
        <v>1</v>
      </c>
      <c r="E98" s="402">
        <f>IFERROR(VLOOKUP($B98,'Unit costs'!$B$86:$E$173,4,FALSE),"")</f>
        <v>1</v>
      </c>
      <c r="F98" s="402">
        <f>IFERROR(VLOOKUP($B98,'Unit costs'!$B$86:$E$173,4,FALSE),"")</f>
        <v>1</v>
      </c>
    </row>
    <row r="99" spans="2:6" ht="15.75" thickBot="1" x14ac:dyDescent="0.3">
      <c r="B99" s="184" t="s">
        <v>278</v>
      </c>
      <c r="C99" s="408">
        <f>IFERROR(VLOOKUP($B99,'Unit costs'!$B$86:$E$173,4,FALSE),"")</f>
        <v>1</v>
      </c>
      <c r="D99" s="402">
        <f>IFERROR(VLOOKUP($B99,'Unit costs'!$B$86:$E$173,4,FALSE),"")</f>
        <v>1</v>
      </c>
      <c r="E99" s="402">
        <f>IFERROR(VLOOKUP($B99,'Unit costs'!$B$86:$E$173,4,FALSE),"")</f>
        <v>1</v>
      </c>
      <c r="F99" s="402">
        <f>IFERROR(VLOOKUP($B99,'Unit costs'!$B$86:$E$173,4,FALSE),"")</f>
        <v>1</v>
      </c>
    </row>
    <row r="100" spans="2:6" ht="15.75" thickBot="1" x14ac:dyDescent="0.3">
      <c r="B100" s="184" t="s">
        <v>290</v>
      </c>
      <c r="C100" s="408">
        <f>IFERROR(VLOOKUP($B100,'Unit costs'!$B$86:$E$173,4,FALSE),"")</f>
        <v>5.0000000000000001E-4</v>
      </c>
      <c r="D100" s="402">
        <f>IFERROR(VLOOKUP($B100,'Unit costs'!$B$86:$E$173,4,FALSE),"")</f>
        <v>5.0000000000000001E-4</v>
      </c>
      <c r="E100" s="402">
        <f>IFERROR(VLOOKUP($B100,'Unit costs'!$B$86:$E$173,4,FALSE),"")</f>
        <v>5.0000000000000001E-4</v>
      </c>
      <c r="F100" s="402">
        <f>IFERROR(VLOOKUP($B100,'Unit costs'!$B$86:$E$173,4,FALSE),"")</f>
        <v>5.0000000000000001E-4</v>
      </c>
    </row>
    <row r="101" spans="2:6" ht="15.75" thickBot="1" x14ac:dyDescent="0.3">
      <c r="B101" s="184" t="s">
        <v>251</v>
      </c>
      <c r="C101" s="408">
        <f>IFERROR(VLOOKUP($B101,'Unit costs'!$B$86:$E$173,4,FALSE),"")</f>
        <v>1</v>
      </c>
      <c r="D101" s="402">
        <f>IFERROR(VLOOKUP($B101,'Unit costs'!$B$86:$E$173,4,FALSE),"")</f>
        <v>1</v>
      </c>
      <c r="E101" s="402">
        <f>IFERROR(VLOOKUP($B101,'Unit costs'!$B$86:$E$173,4,FALSE),"")</f>
        <v>1</v>
      </c>
      <c r="F101" s="402">
        <f>IFERROR(VLOOKUP($B101,'Unit costs'!$B$86:$E$173,4,FALSE),"")</f>
        <v>1</v>
      </c>
    </row>
    <row r="102" spans="2:6" ht="15.75" thickBot="1" x14ac:dyDescent="0.3">
      <c r="B102" s="184" t="s">
        <v>35</v>
      </c>
      <c r="C102" s="408">
        <f>IFERROR(VLOOKUP($B102,'Unit costs'!$B$86:$E$173,4,FALSE),"")</f>
        <v>6.2500000000000003E-3</v>
      </c>
      <c r="D102" s="402">
        <f>IFERROR(VLOOKUP($B102,'Unit costs'!$B$86:$E$173,4,FALSE),"")</f>
        <v>6.2500000000000003E-3</v>
      </c>
      <c r="E102" s="402">
        <f>IFERROR(VLOOKUP($B102,'Unit costs'!$B$86:$E$173,4,FALSE),"")</f>
        <v>6.2500000000000003E-3</v>
      </c>
      <c r="F102" s="402">
        <f>IFERROR(VLOOKUP($B102,'Unit costs'!$B$86:$E$173,4,FALSE),"")</f>
        <v>6.2500000000000003E-3</v>
      </c>
    </row>
    <row r="103" spans="2:6" ht="15.75" thickBot="1" x14ac:dyDescent="0.3">
      <c r="B103" s="184" t="s">
        <v>316</v>
      </c>
      <c r="C103" s="408">
        <f>IFERROR(VLOOKUP($B103,'Unit costs'!$B$86:$E$173,4,FALSE),"")</f>
        <v>3.5000000000000001E-3</v>
      </c>
      <c r="D103" s="402">
        <f>IFERROR(VLOOKUP($B103,'Unit costs'!$B$86:$E$173,4,FALSE),"")</f>
        <v>3.5000000000000001E-3</v>
      </c>
      <c r="E103" s="402">
        <f>IFERROR(VLOOKUP($B103,'Unit costs'!$B$86:$E$173,4,FALSE),"")</f>
        <v>3.5000000000000001E-3</v>
      </c>
      <c r="F103" s="402">
        <f>IFERROR(VLOOKUP($B103,'Unit costs'!$B$86:$E$173,4,FALSE),"")</f>
        <v>3.5000000000000001E-3</v>
      </c>
    </row>
    <row r="104" spans="2:6" ht="15.75" thickBot="1" x14ac:dyDescent="0.3">
      <c r="B104" s="184"/>
      <c r="C104" s="408" t="str">
        <f>IFERROR(VLOOKUP($B104,'Unit costs'!$B$86:$E$173,4,FALSE),"")</f>
        <v/>
      </c>
      <c r="D104" s="402" t="str">
        <f>IFERROR(VLOOKUP($B104,'Unit costs'!$B$86:$E$173,4,FALSE),"")</f>
        <v/>
      </c>
      <c r="E104" s="402" t="str">
        <f>IFERROR(VLOOKUP($B104,'Unit costs'!$B$86:$E$173,4,FALSE),"")</f>
        <v/>
      </c>
      <c r="F104" s="402" t="str">
        <f>IFERROR(VLOOKUP($B104,'Unit costs'!$B$86:$E$173,4,FALSE),"")</f>
        <v/>
      </c>
    </row>
    <row r="105" spans="2:6" ht="15.75" thickBot="1" x14ac:dyDescent="0.3">
      <c r="B105" s="184"/>
      <c r="C105" s="408" t="str">
        <f>IFERROR(VLOOKUP($B105,'Unit costs'!$B$86:$E$173,4,FALSE),"")</f>
        <v/>
      </c>
      <c r="D105" s="402" t="str">
        <f>IFERROR(VLOOKUP($B105,'Unit costs'!$B$86:$E$173,4,FALSE),"")</f>
        <v/>
      </c>
      <c r="E105" s="402" t="str">
        <f>IFERROR(VLOOKUP($B105,'Unit costs'!$B$86:$E$173,4,FALSE),"")</f>
        <v/>
      </c>
      <c r="F105" s="402" t="str">
        <f>IFERROR(VLOOKUP($B105,'Unit costs'!$B$86:$E$173,4,FALSE),"")</f>
        <v/>
      </c>
    </row>
    <row r="106" spans="2:6" ht="15.75" thickBot="1" x14ac:dyDescent="0.3">
      <c r="B106" s="240"/>
      <c r="C106" s="408" t="str">
        <f>IFERROR(VLOOKUP($B106,'Unit costs'!$B$86:$E$173,4,FALSE),"")</f>
        <v/>
      </c>
      <c r="D106" s="402" t="str">
        <f>IFERROR(VLOOKUP($B106,'Unit costs'!$B$86:$E$173,4,FALSE),"")</f>
        <v/>
      </c>
      <c r="E106" s="402" t="str">
        <f>IFERROR(VLOOKUP($B106,'Unit costs'!$B$86:$E$173,4,FALSE),"")</f>
        <v/>
      </c>
      <c r="F106" s="402" t="str">
        <f>IFERROR(VLOOKUP($B106,'Unit costs'!$B$86:$E$173,4,FALSE),"")</f>
        <v/>
      </c>
    </row>
    <row r="107" spans="2:6" ht="16.149999999999999" customHeight="1" thickBot="1" x14ac:dyDescent="0.3">
      <c r="B107" s="240" t="s">
        <v>92</v>
      </c>
      <c r="C107" s="408" t="str">
        <f>IFERROR(VLOOKUP($B107,'Unit costs'!$B$86:$E$173,4,FALSE),"")</f>
        <v/>
      </c>
      <c r="D107" s="402" t="str">
        <f>IFERROR(VLOOKUP($B107,'Unit costs'!$B$86:$E$173,4,FALSE),"")</f>
        <v/>
      </c>
      <c r="E107" s="402" t="str">
        <f>IFERROR(VLOOKUP($B107,'Unit costs'!$B$86:$E$173,4,FALSE),"")</f>
        <v/>
      </c>
      <c r="F107" s="402" t="str">
        <f>IFERROR(VLOOKUP($B107,'Unit costs'!$B$86:$E$173,4,FALSE),"")</f>
        <v/>
      </c>
    </row>
    <row r="108" spans="2:6" ht="15.75" thickBot="1" x14ac:dyDescent="0.3">
      <c r="B108" s="184" t="s">
        <v>92</v>
      </c>
      <c r="C108" s="408" t="str">
        <f>IFERROR(VLOOKUP($B108,'Unit costs'!$B$86:$E$173,4,FALSE),"")</f>
        <v/>
      </c>
      <c r="D108" s="402" t="str">
        <f>IFERROR(VLOOKUP($B108,'Unit costs'!$B$86:$E$173,4,FALSE),"")</f>
        <v/>
      </c>
      <c r="E108" s="402" t="str">
        <f>IFERROR(VLOOKUP($B108,'Unit costs'!$B$86:$E$173,4,FALSE),"")</f>
        <v/>
      </c>
      <c r="F108" s="402" t="str">
        <f>IFERROR(VLOOKUP($B108,'Unit costs'!$B$86:$E$173,4,FALSE),"")</f>
        <v/>
      </c>
    </row>
    <row r="109" spans="2:6" ht="15.75" thickBot="1" x14ac:dyDescent="0.3">
      <c r="B109" s="184" t="s">
        <v>92</v>
      </c>
      <c r="C109" s="408" t="str">
        <f>IFERROR(VLOOKUP($B109,'Unit costs'!$B$86:$E$173,4,FALSE),"")</f>
        <v/>
      </c>
      <c r="D109" s="402" t="str">
        <f>IFERROR(VLOOKUP($B109,'Unit costs'!$B$86:$E$173,4,FALSE),"")</f>
        <v/>
      </c>
      <c r="E109" s="402" t="str">
        <f>IFERROR(VLOOKUP($B109,'Unit costs'!$B$86:$E$173,4,FALSE),"")</f>
        <v/>
      </c>
      <c r="F109" s="402" t="str">
        <f>IFERROR(VLOOKUP($B109,'Unit costs'!$B$86:$E$173,4,FALSE),"")</f>
        <v/>
      </c>
    </row>
    <row r="110" spans="2:6" ht="15.75" thickBot="1" x14ac:dyDescent="0.3">
      <c r="B110" s="240" t="s">
        <v>92</v>
      </c>
      <c r="C110" s="408" t="str">
        <f>IFERROR(VLOOKUP($B110,'Unit costs'!$B$86:$E$173,4,FALSE),"")</f>
        <v/>
      </c>
      <c r="D110" s="402" t="str">
        <f>IFERROR(VLOOKUP($B110,'Unit costs'!$B$86:$E$173,4,FALSE),"")</f>
        <v/>
      </c>
      <c r="E110" s="402" t="str">
        <f>IFERROR(VLOOKUP($B110,'Unit costs'!$B$86:$E$173,4,FALSE),"")</f>
        <v/>
      </c>
      <c r="F110" s="402" t="str">
        <f>IFERROR(VLOOKUP($B110,'Unit costs'!$B$86:$E$173,4,FALSE),"")</f>
        <v/>
      </c>
    </row>
    <row r="111" spans="2:6" ht="15.75" thickBot="1" x14ac:dyDescent="0.3">
      <c r="B111" s="184" t="s">
        <v>92</v>
      </c>
      <c r="C111" s="408" t="str">
        <f>IFERROR(VLOOKUP($B111,'Unit costs'!$B$86:$E$173,4,FALSE),"")</f>
        <v/>
      </c>
      <c r="D111" s="402" t="str">
        <f>IFERROR(VLOOKUP($B111,'Unit costs'!$B$86:$E$173,4,FALSE),"")</f>
        <v/>
      </c>
      <c r="E111" s="402" t="str">
        <f>IFERROR(VLOOKUP($B111,'Unit costs'!$B$86:$E$173,4,FALSE),"")</f>
        <v/>
      </c>
      <c r="F111" s="402" t="str">
        <f>IFERROR(VLOOKUP($B111,'Unit costs'!$B$86:$E$173,4,FALSE),"")</f>
        <v/>
      </c>
    </row>
    <row r="112" spans="2:6" ht="15.75" thickBot="1" x14ac:dyDescent="0.3">
      <c r="B112" s="184" t="s">
        <v>92</v>
      </c>
      <c r="C112" s="408" t="str">
        <f>IFERROR(VLOOKUP($B112,'Unit costs'!$B$86:$E$173,4,FALSE),"")</f>
        <v/>
      </c>
      <c r="D112" s="402" t="str">
        <f>IFERROR(VLOOKUP($B112,'Unit costs'!$B$86:$E$173,4,FALSE),"")</f>
        <v/>
      </c>
      <c r="E112" s="402" t="str">
        <f>IFERROR(VLOOKUP($B112,'Unit costs'!$B$86:$E$173,4,FALSE),"")</f>
        <v/>
      </c>
      <c r="F112" s="402" t="str">
        <f>IFERROR(VLOOKUP($B112,'Unit costs'!$B$86:$E$173,4,FALSE),"")</f>
        <v/>
      </c>
    </row>
    <row r="113" spans="2:6" ht="15.75" thickBot="1" x14ac:dyDescent="0.3">
      <c r="B113" s="184" t="s">
        <v>92</v>
      </c>
      <c r="C113" s="408" t="str">
        <f>IFERROR(VLOOKUP($B113,'Unit costs'!$B$86:$E$173,4,FALSE),"")</f>
        <v/>
      </c>
      <c r="D113" s="402" t="str">
        <f>IFERROR(VLOOKUP($B113,'Unit costs'!$B$86:$E$173,4,FALSE),"")</f>
        <v/>
      </c>
      <c r="E113" s="402" t="str">
        <f>IFERROR(VLOOKUP($B113,'Unit costs'!$B$86:$E$173,4,FALSE),"")</f>
        <v/>
      </c>
      <c r="F113" s="402" t="str">
        <f>IFERROR(VLOOKUP($B113,'Unit costs'!$B$86:$E$173,4,FALSE),"")</f>
        <v/>
      </c>
    </row>
    <row r="114" spans="2:6" ht="15.75" thickBot="1" x14ac:dyDescent="0.3">
      <c r="B114" s="184" t="s">
        <v>92</v>
      </c>
      <c r="C114" s="408" t="str">
        <f>IFERROR(VLOOKUP($B114,'Unit costs'!$B$86:$E$173,4,FALSE),"")</f>
        <v/>
      </c>
      <c r="D114" s="402" t="str">
        <f>IFERROR(VLOOKUP($B114,'Unit costs'!$B$86:$E$173,4,FALSE),"")</f>
        <v/>
      </c>
      <c r="E114" s="402" t="str">
        <f>IFERROR(VLOOKUP($B114,'Unit costs'!$B$86:$E$173,4,FALSE),"")</f>
        <v/>
      </c>
      <c r="F114" s="402" t="str">
        <f>IFERROR(VLOOKUP($B114,'Unit costs'!$B$86:$E$173,4,FALSE),"")</f>
        <v/>
      </c>
    </row>
    <row r="115" spans="2:6" ht="15.75" thickBot="1" x14ac:dyDescent="0.3">
      <c r="B115" s="184" t="s">
        <v>92</v>
      </c>
      <c r="C115" s="408" t="str">
        <f>IFERROR(VLOOKUP($B115,'Unit costs'!$B$86:$E$173,4,FALSE),"")</f>
        <v/>
      </c>
      <c r="D115" s="402" t="str">
        <f>IFERROR(VLOOKUP($B115,'Unit costs'!$B$86:$E$173,4,FALSE),"")</f>
        <v/>
      </c>
      <c r="E115" s="402" t="str">
        <f>IFERROR(VLOOKUP($B115,'Unit costs'!$B$86:$E$173,4,FALSE),"")</f>
        <v/>
      </c>
      <c r="F115" s="402" t="str">
        <f>IFERROR(VLOOKUP($B115,'Unit costs'!$B$86:$E$173,4,FALSE),"")</f>
        <v/>
      </c>
    </row>
    <row r="116" spans="2:6" ht="15.75" thickBot="1" x14ac:dyDescent="0.3">
      <c r="B116" s="184" t="s">
        <v>92</v>
      </c>
      <c r="C116" s="408" t="str">
        <f>IFERROR(VLOOKUP($B116,'Unit costs'!$B$86:$E$173,4,FALSE),"")</f>
        <v/>
      </c>
      <c r="D116" s="402" t="str">
        <f>IFERROR(VLOOKUP($B116,'Unit costs'!$B$86:$E$173,4,FALSE),"")</f>
        <v/>
      </c>
      <c r="E116" s="402" t="str">
        <f>IFERROR(VLOOKUP($B116,'Unit costs'!$B$86:$E$173,4,FALSE),"")</f>
        <v/>
      </c>
      <c r="F116" s="402" t="str">
        <f>IFERROR(VLOOKUP($B116,'Unit costs'!$B$86:$E$173,4,FALSE),"")</f>
        <v/>
      </c>
    </row>
    <row r="117" spans="2:6" ht="15.75" thickBot="1" x14ac:dyDescent="0.3">
      <c r="B117" s="144" t="s">
        <v>92</v>
      </c>
      <c r="C117" s="408" t="str">
        <f>IFERROR(VLOOKUP($B117,'Unit costs'!$B$86:$E$173,4,FALSE),"")</f>
        <v/>
      </c>
      <c r="D117" s="402" t="str">
        <f>IFERROR(VLOOKUP($B117,'Unit costs'!$B$86:$E$173,4,FALSE),"")</f>
        <v/>
      </c>
      <c r="E117" s="402" t="str">
        <f>IFERROR(VLOOKUP($B117,'Unit costs'!$B$86:$E$173,4,FALSE),"")</f>
        <v/>
      </c>
      <c r="F117" s="402" t="str">
        <f>IFERROR(VLOOKUP($B117,'Unit costs'!$B$86:$E$173,4,FALSE),"")</f>
        <v/>
      </c>
    </row>
    <row r="118" spans="2:6" ht="15.75" thickBot="1" x14ac:dyDescent="0.3">
      <c r="B118" s="144" t="s">
        <v>92</v>
      </c>
      <c r="C118" s="408" t="str">
        <f>IFERROR(VLOOKUP($B118,'Unit costs'!$B$86:$E$173,4,FALSE),"")</f>
        <v/>
      </c>
      <c r="D118" s="402" t="str">
        <f>IFERROR(VLOOKUP($B118,'Unit costs'!$B$86:$E$173,4,FALSE),"")</f>
        <v/>
      </c>
      <c r="E118" s="402" t="str">
        <f>IFERROR(VLOOKUP($B118,'Unit costs'!$B$86:$E$173,4,FALSE),"")</f>
        <v/>
      </c>
      <c r="F118" s="402" t="str">
        <f>IFERROR(VLOOKUP($B118,'Unit costs'!$B$86:$E$173,4,FALSE),"")</f>
        <v/>
      </c>
    </row>
    <row r="119" spans="2:6" x14ac:dyDescent="0.25">
      <c r="B119" s="144" t="s">
        <v>92</v>
      </c>
      <c r="C119" s="408" t="str">
        <f>IFERROR(VLOOKUP($B119,'Unit costs'!$B$86:$E$173,4,FALSE),"")</f>
        <v/>
      </c>
      <c r="D119" s="402" t="str">
        <f>IFERROR(VLOOKUP($B119,'Unit costs'!$B$86:$E$173,4,FALSE),"")</f>
        <v/>
      </c>
      <c r="E119" s="402" t="str">
        <f>IFERROR(VLOOKUP($B119,'Unit costs'!$B$86:$E$173,4,FALSE),"")</f>
        <v/>
      </c>
      <c r="F119" s="402" t="str">
        <f>IFERROR(VLOOKUP($B119,'Unit costs'!$B$86:$E$173,4,FALSE),"")</f>
        <v/>
      </c>
    </row>
    <row r="120" spans="2:6" s="158" customFormat="1" x14ac:dyDescent="0.25">
      <c r="B120" s="207"/>
      <c r="C120" s="207"/>
      <c r="D120" s="207"/>
      <c r="E120" s="207"/>
      <c r="F120" s="207"/>
    </row>
    <row r="121" spans="2:6" s="158" customFormat="1" ht="15.75" thickBot="1" x14ac:dyDescent="0.3">
      <c r="B121" s="446" t="str">
        <f>'Blood sample &amp; packaging'!B122:F122</f>
        <v>COST  PER TEST</v>
      </c>
      <c r="C121" s="446"/>
      <c r="D121" s="446"/>
      <c r="E121" s="446"/>
      <c r="F121" s="446"/>
    </row>
    <row r="122" spans="2:6" s="158" customFormat="1" ht="15.75" thickBot="1" x14ac:dyDescent="0.3">
      <c r="B122" s="241" t="str">
        <f t="shared" ref="B122:B128" si="3">B93</f>
        <v>Gloves (powder free) x 100 gloves</v>
      </c>
      <c r="C122" s="353">
        <f>IFERROR(VLOOKUP($B122,'Unit costs'!$B$86:$F$173,5,FALSE)*C93,"")</f>
        <v>0.31559999999999999</v>
      </c>
      <c r="D122" s="348">
        <f>IFERROR(VLOOKUP($B122,'Unit costs'!$B$86:$F$173,5,FALSE)*D93,"")</f>
        <v>0.31559999999999999</v>
      </c>
      <c r="E122" s="348">
        <f>IFERROR(VLOOKUP($B122,'Unit costs'!$B$86:$F$173,5,FALSE)*E93,"")</f>
        <v>0.31559999999999999</v>
      </c>
      <c r="F122" s="348">
        <f>IFERROR(VLOOKUP($B122,'Unit costs'!$B$86:$F$173,5,FALSE)*F93,"")</f>
        <v>0.31559999999999999</v>
      </c>
    </row>
    <row r="123" spans="2:6" s="158" customFormat="1" ht="15.75" thickBot="1" x14ac:dyDescent="0.3">
      <c r="B123" s="242" t="str">
        <f t="shared" si="3"/>
        <v>Biohazard bags. (Red and black) (100 per case)</v>
      </c>
      <c r="C123" s="353">
        <f>IFERROR(VLOOKUP($B123,'Unit costs'!$B$86:$F$173,5,FALSE)*C94,"")</f>
        <v>8.7500000000000009E-6</v>
      </c>
      <c r="D123" s="348">
        <f>IFERROR(VLOOKUP($B123,'Unit costs'!$B$86:$F$173,5,FALSE)*D94,"")</f>
        <v>8.7500000000000009E-6</v>
      </c>
      <c r="E123" s="348">
        <f>IFERROR(VLOOKUP($B123,'Unit costs'!$B$86:$F$173,5,FALSE)*E94,"")</f>
        <v>8.7500000000000009E-6</v>
      </c>
      <c r="F123" s="348">
        <f>IFERROR(VLOOKUP($B123,'Unit costs'!$B$86:$F$173,5,FALSE)*F94,"")</f>
        <v>8.7500000000000009E-6</v>
      </c>
    </row>
    <row r="124" spans="2:6" s="158" customFormat="1" ht="15.75" thickBot="1" x14ac:dyDescent="0.3">
      <c r="B124" s="242" t="str">
        <f t="shared" si="3"/>
        <v>Biohazard containers (unit of 1)</v>
      </c>
      <c r="C124" s="353">
        <f>IFERROR(VLOOKUP($B124,'Unit costs'!$B$86:$F$173,5,FALSE)*C95,"")</f>
        <v>1.8692708333333333E-5</v>
      </c>
      <c r="D124" s="348">
        <f>IFERROR(VLOOKUP($B124,'Unit costs'!$B$86:$F$173,5,FALSE)*D95,"")</f>
        <v>1.8692708333333333E-5</v>
      </c>
      <c r="E124" s="348">
        <f>IFERROR(VLOOKUP($B124,'Unit costs'!$B$86:$F$173,5,FALSE)*E95,"")</f>
        <v>1.8692708333333333E-5</v>
      </c>
      <c r="F124" s="348">
        <f>IFERROR(VLOOKUP($B124,'Unit costs'!$B$86:$F$173,5,FALSE)*F95,"")</f>
        <v>1.8692708333333333E-5</v>
      </c>
    </row>
    <row r="125" spans="2:6" s="158" customFormat="1" ht="15.75" thickBot="1" x14ac:dyDescent="0.3">
      <c r="B125" s="242" t="str">
        <f t="shared" si="3"/>
        <v>Plasma Processing tubes (pack of 1000)</v>
      </c>
      <c r="C125" s="353">
        <f>IFERROR(VLOOKUP($B125,'Unit costs'!$B$86:$F$173,5,FALSE)*C96,"")</f>
        <v>0.16300000000000001</v>
      </c>
      <c r="D125" s="348">
        <f>IFERROR(VLOOKUP($B125,'Unit costs'!$B$86:$F$173,5,FALSE)*D96,"")</f>
        <v>0.16300000000000001</v>
      </c>
      <c r="E125" s="348">
        <f>IFERROR(VLOOKUP($B125,'Unit costs'!$B$86:$F$173,5,FALSE)*E96,"")</f>
        <v>0.16300000000000001</v>
      </c>
      <c r="F125" s="348">
        <f>IFERROR(VLOOKUP($B125,'Unit costs'!$B$86:$F$173,5,FALSE)*F96,"")</f>
        <v>0.16300000000000001</v>
      </c>
    </row>
    <row r="126" spans="2:6" s="158" customFormat="1" ht="15.75" thickBot="1" x14ac:dyDescent="0.3">
      <c r="B126" s="242" t="str">
        <f t="shared" si="3"/>
        <v>Laboratory coats (non-disposable) (Unit of 1)</v>
      </c>
      <c r="C126" s="353">
        <f>IFERROR(VLOOKUP($B126,'Unit costs'!$B$86:$F$173,5,FALSE)*C97,"")</f>
        <v>2.0643413925221296E-8</v>
      </c>
      <c r="D126" s="348">
        <f>IFERROR(VLOOKUP($B126,'Unit costs'!$B$86:$F$173,5,FALSE)*D97,"")</f>
        <v>2.0643413925221296E-8</v>
      </c>
      <c r="E126" s="348">
        <f>IFERROR(VLOOKUP($B126,'Unit costs'!$B$86:$F$173,5,FALSE)*E97,"")</f>
        <v>2.0643413925221296E-8</v>
      </c>
      <c r="F126" s="348">
        <f>IFERROR(VLOOKUP($B126,'Unit costs'!$B$86:$F$173,5,FALSE)*F97,"")</f>
        <v>2.0643413925221296E-8</v>
      </c>
    </row>
    <row r="127" spans="2:6" s="158" customFormat="1" ht="15.75" thickBot="1" x14ac:dyDescent="0.3">
      <c r="B127" s="242" t="str">
        <f t="shared" si="3"/>
        <v xml:space="preserve">Cryovials (screw cap 2ml micro tubes) (pack of 1000) </v>
      </c>
      <c r="C127" s="353">
        <f>IFERROR(VLOOKUP($B127,'Unit costs'!$B$86:$F$173,5,FALSE)*C98,"")</f>
        <v>0.125</v>
      </c>
      <c r="D127" s="348">
        <f>IFERROR(VLOOKUP($B127,'Unit costs'!$B$86:$F$173,5,FALSE)*D98,"")</f>
        <v>0.125</v>
      </c>
      <c r="E127" s="348">
        <f>IFERROR(VLOOKUP($B127,'Unit costs'!$B$86:$F$173,5,FALSE)*E98,"")</f>
        <v>0.125</v>
      </c>
      <c r="F127" s="348">
        <f>IFERROR(VLOOKUP($B127,'Unit costs'!$B$86:$F$173,5,FALSE)*F98,"")</f>
        <v>0.125</v>
      </c>
    </row>
    <row r="128" spans="2:6" s="158" customFormat="1" ht="15.75" thickBot="1" x14ac:dyDescent="0.3">
      <c r="B128" s="242" t="str">
        <f t="shared" si="3"/>
        <v>1000µl Eppendorf (TECAN) disposable Tips (box of 2304)</v>
      </c>
      <c r="C128" s="353">
        <f>IFERROR(VLOOKUP($B128,'Unit costs'!$B$86:$F$173,5,FALSE)*C99,"")</f>
        <v>0.16536458333333334</v>
      </c>
      <c r="D128" s="348">
        <f>IFERROR(VLOOKUP($B128,'Unit costs'!$B$86:$F$173,5,FALSE)*D99,"")</f>
        <v>0.16536458333333334</v>
      </c>
      <c r="E128" s="348">
        <f>IFERROR(VLOOKUP($B128,'Unit costs'!$B$86:$F$173,5,FALSE)*E99,"")</f>
        <v>0.16536458333333334</v>
      </c>
      <c r="F128" s="348">
        <f>IFERROR(VLOOKUP($B128,'Unit costs'!$B$86:$F$173,5,FALSE)*F99,"")</f>
        <v>0.16536458333333334</v>
      </c>
    </row>
    <row r="129" spans="2:6" s="158" customFormat="1" ht="15.75" thickBot="1" x14ac:dyDescent="0.3">
      <c r="B129" s="242" t="str">
        <f t="shared" ref="B129:B148" si="4">B100</f>
        <v>cryopen (pack of 5)</v>
      </c>
      <c r="C129" s="353">
        <f>IFERROR(VLOOKUP($B129,'Unit costs'!$B$86:$F$173,5,FALSE)*C100,"")</f>
        <v>1.232741617357E-6</v>
      </c>
      <c r="D129" s="348">
        <f>IFERROR(VLOOKUP($B129,'Unit costs'!$B$86:$F$173,5,FALSE)*D100,"")</f>
        <v>1.232741617357E-6</v>
      </c>
      <c r="E129" s="348">
        <f>IFERROR(VLOOKUP($B129,'Unit costs'!$B$86:$F$173,5,FALSE)*E100,"")</f>
        <v>1.232741617357E-6</v>
      </c>
      <c r="F129" s="348">
        <f>IFERROR(VLOOKUP($B129,'Unit costs'!$B$86:$F$173,5,FALSE)*F100,"")</f>
        <v>1.232741617357E-6</v>
      </c>
    </row>
    <row r="130" spans="2:6" s="158" customFormat="1" ht="15.75" thickBot="1" x14ac:dyDescent="0.3">
      <c r="B130" s="242" t="str">
        <f t="shared" si="4"/>
        <v>Serological pipettes (3ml) (box of 480)</v>
      </c>
      <c r="C130" s="353">
        <f>IFERROR(VLOOKUP($B130,'Unit costs'!$B$86:$F$173,5,FALSE)*C101,"")</f>
        <v>5.8333333333333334E-2</v>
      </c>
      <c r="D130" s="348">
        <f>IFERROR(VLOOKUP($B130,'Unit costs'!$B$86:$F$173,5,FALSE)*D101,"")</f>
        <v>5.8333333333333334E-2</v>
      </c>
      <c r="E130" s="348">
        <f>IFERROR(VLOOKUP($B130,'Unit costs'!$B$86:$F$173,5,FALSE)*E101,"")</f>
        <v>5.8333333333333334E-2</v>
      </c>
      <c r="F130" s="348">
        <f>IFERROR(VLOOKUP($B130,'Unit costs'!$B$86:$F$173,5,FALSE)*F101,"")</f>
        <v>5.8333333333333334E-2</v>
      </c>
    </row>
    <row r="131" spans="2:6" s="158" customFormat="1" ht="15.75" thickBot="1" x14ac:dyDescent="0.3">
      <c r="B131" s="242" t="str">
        <f t="shared" si="4"/>
        <v>Ethanol (2.5 L)</v>
      </c>
      <c r="C131" s="353">
        <f>IFERROR(VLOOKUP($B131,'Unit costs'!$B$86:$F$173,5,FALSE)*C102,"")</f>
        <v>2.3437499999999999E-4</v>
      </c>
      <c r="D131" s="348">
        <f>IFERROR(VLOOKUP($B131,'Unit costs'!$B$86:$F$173,5,FALSE)*D102,"")</f>
        <v>2.3437499999999999E-4</v>
      </c>
      <c r="E131" s="348">
        <f>IFERROR(VLOOKUP($B131,'Unit costs'!$B$86:$F$173,5,FALSE)*E102,"")</f>
        <v>2.3437499999999999E-4</v>
      </c>
      <c r="F131" s="348">
        <f>IFERROR(VLOOKUP($B131,'Unit costs'!$B$86:$F$173,5,FALSE)*F102,"")</f>
        <v>2.3437499999999999E-4</v>
      </c>
    </row>
    <row r="132" spans="2:6" s="158" customFormat="1" ht="15.75" thickBot="1" x14ac:dyDescent="0.3">
      <c r="B132" s="242" t="str">
        <f t="shared" si="4"/>
        <v>Bleach (10% sodium hyperchloride) (3.5 gallons)</v>
      </c>
      <c r="C132" s="353">
        <f>IFERROR(VLOOKUP($B132,'Unit costs'!$B$86:$F$173,5,FALSE)*C103,"")</f>
        <v>1.5645E-5</v>
      </c>
      <c r="D132" s="348">
        <f>IFERROR(VLOOKUP($B132,'Unit costs'!$B$86:$F$173,5,FALSE)*D103,"")</f>
        <v>1.5645E-5</v>
      </c>
      <c r="E132" s="348">
        <f>IFERROR(VLOOKUP($B132,'Unit costs'!$B$86:$F$173,5,FALSE)*E103,"")</f>
        <v>1.5645E-5</v>
      </c>
      <c r="F132" s="348">
        <f>IFERROR(VLOOKUP($B132,'Unit costs'!$B$86:$F$173,5,FALSE)*F103,"")</f>
        <v>1.5645E-5</v>
      </c>
    </row>
    <row r="133" spans="2:6" s="158" customFormat="1" ht="15.75" thickBot="1" x14ac:dyDescent="0.3">
      <c r="B133" s="242">
        <f t="shared" si="4"/>
        <v>0</v>
      </c>
      <c r="C133" s="353" t="str">
        <f>IFERROR(VLOOKUP($B133,'Unit costs'!$B$86:$F$173,5,FALSE)*C104,"")</f>
        <v/>
      </c>
      <c r="D133" s="348" t="str">
        <f>IFERROR(VLOOKUP($B133,'Unit costs'!$B$86:$F$173,5,FALSE)*D104,"")</f>
        <v/>
      </c>
      <c r="E133" s="348" t="str">
        <f>IFERROR(VLOOKUP($B133,'Unit costs'!$B$86:$F$173,5,FALSE)*E104,"")</f>
        <v/>
      </c>
      <c r="F133" s="348" t="str">
        <f>IFERROR(VLOOKUP($B133,'Unit costs'!$B$86:$F$173,5,FALSE)*F104,"")</f>
        <v/>
      </c>
    </row>
    <row r="134" spans="2:6" s="158" customFormat="1" ht="15.75" thickBot="1" x14ac:dyDescent="0.3">
      <c r="B134" s="242">
        <f t="shared" si="4"/>
        <v>0</v>
      </c>
      <c r="C134" s="353" t="str">
        <f>IFERROR(VLOOKUP($B134,'Unit costs'!$B$86:$F$173,5,FALSE)*C105,"")</f>
        <v/>
      </c>
      <c r="D134" s="348" t="str">
        <f>IFERROR(VLOOKUP($B134,'Unit costs'!$B$86:$F$173,5,FALSE)*D105,"")</f>
        <v/>
      </c>
      <c r="E134" s="348" t="str">
        <f>IFERROR(VLOOKUP($B134,'Unit costs'!$B$86:$F$173,5,FALSE)*E105,"")</f>
        <v/>
      </c>
      <c r="F134" s="348" t="str">
        <f>IFERROR(VLOOKUP($B134,'Unit costs'!$B$86:$F$173,5,FALSE)*F105,"")</f>
        <v/>
      </c>
    </row>
    <row r="135" spans="2:6" s="158" customFormat="1" ht="15.75" thickBot="1" x14ac:dyDescent="0.3">
      <c r="B135" s="243">
        <f t="shared" si="4"/>
        <v>0</v>
      </c>
      <c r="C135" s="353" t="str">
        <f>IFERROR(VLOOKUP($B135,'Unit costs'!$B$86:$F$173,5,FALSE)*C106,"")</f>
        <v/>
      </c>
      <c r="D135" s="348" t="str">
        <f>IFERROR(VLOOKUP($B135,'Unit costs'!$B$86:$F$173,5,FALSE)*D106,"")</f>
        <v/>
      </c>
      <c r="E135" s="348" t="str">
        <f>IFERROR(VLOOKUP($B135,'Unit costs'!$B$86:$F$173,5,FALSE)*E106,"")</f>
        <v/>
      </c>
      <c r="F135" s="348" t="str">
        <f>IFERROR(VLOOKUP($B135,'Unit costs'!$B$86:$F$173,5,FALSE)*F106,"")</f>
        <v/>
      </c>
    </row>
    <row r="136" spans="2:6" s="158" customFormat="1" ht="15.75" thickBot="1" x14ac:dyDescent="0.3">
      <c r="B136" s="242" t="str">
        <f t="shared" si="4"/>
        <v>Other items</v>
      </c>
      <c r="C136" s="353" t="str">
        <f>IFERROR(VLOOKUP($B136,'Unit costs'!$B$86:$F$173,5,FALSE)*C107,"")</f>
        <v/>
      </c>
      <c r="D136" s="348" t="str">
        <f>IFERROR(VLOOKUP($B136,'Unit costs'!$B$86:$F$173,5,FALSE)*D107,"")</f>
        <v/>
      </c>
      <c r="E136" s="348" t="str">
        <f>IFERROR(VLOOKUP($B136,'Unit costs'!$B$86:$F$173,5,FALSE)*E107,"")</f>
        <v/>
      </c>
      <c r="F136" s="348" t="str">
        <f>IFERROR(VLOOKUP($B136,'Unit costs'!$B$86:$F$173,5,FALSE)*F107,"")</f>
        <v/>
      </c>
    </row>
    <row r="137" spans="2:6" s="158" customFormat="1" ht="15.75" thickBot="1" x14ac:dyDescent="0.3">
      <c r="B137" s="242" t="str">
        <f t="shared" si="4"/>
        <v>Other items</v>
      </c>
      <c r="C137" s="353" t="str">
        <f>IFERROR(VLOOKUP($B137,'Unit costs'!$B$86:$F$173,5,FALSE)*C108,"")</f>
        <v/>
      </c>
      <c r="D137" s="348" t="str">
        <f>IFERROR(VLOOKUP($B137,'Unit costs'!$B$86:$F$173,5,FALSE)*D108,"")</f>
        <v/>
      </c>
      <c r="E137" s="348" t="str">
        <f>IFERROR(VLOOKUP($B137,'Unit costs'!$B$86:$F$173,5,FALSE)*E108,"")</f>
        <v/>
      </c>
      <c r="F137" s="348" t="str">
        <f>IFERROR(VLOOKUP($B137,'Unit costs'!$B$86:$F$173,5,FALSE)*F108,"")</f>
        <v/>
      </c>
    </row>
    <row r="138" spans="2:6" s="158" customFormat="1" ht="15.75" thickBot="1" x14ac:dyDescent="0.3">
      <c r="B138" s="242" t="str">
        <f t="shared" si="4"/>
        <v>Other items</v>
      </c>
      <c r="C138" s="353" t="str">
        <f>IFERROR(VLOOKUP($B138,'Unit costs'!$B$86:$F$173,5,FALSE)*C109,"")</f>
        <v/>
      </c>
      <c r="D138" s="348" t="str">
        <f>IFERROR(VLOOKUP($B138,'Unit costs'!$B$86:$F$173,5,FALSE)*D109,"")</f>
        <v/>
      </c>
      <c r="E138" s="348" t="str">
        <f>IFERROR(VLOOKUP($B138,'Unit costs'!$B$86:$F$173,5,FALSE)*E109,"")</f>
        <v/>
      </c>
      <c r="F138" s="348" t="str">
        <f>IFERROR(VLOOKUP($B138,'Unit costs'!$B$86:$F$173,5,FALSE)*F109,"")</f>
        <v/>
      </c>
    </row>
    <row r="139" spans="2:6" s="158" customFormat="1" ht="15.75" thickBot="1" x14ac:dyDescent="0.3">
      <c r="B139" s="243" t="str">
        <f t="shared" si="4"/>
        <v>Other items</v>
      </c>
      <c r="C139" s="353" t="str">
        <f>IFERROR(VLOOKUP($B139,'Unit costs'!$B$86:$F$173,5,FALSE)*C110,"")</f>
        <v/>
      </c>
      <c r="D139" s="348" t="str">
        <f>IFERROR(VLOOKUP($B139,'Unit costs'!$B$86:$F$173,5,FALSE)*D110,"")</f>
        <v/>
      </c>
      <c r="E139" s="348" t="str">
        <f>IFERROR(VLOOKUP($B139,'Unit costs'!$B$86:$F$173,5,FALSE)*E110,"")</f>
        <v/>
      </c>
      <c r="F139" s="348" t="str">
        <f>IFERROR(VLOOKUP($B139,'Unit costs'!$B$86:$F$173,5,FALSE)*F110,"")</f>
        <v/>
      </c>
    </row>
    <row r="140" spans="2:6" s="158" customFormat="1" ht="15.75" thickBot="1" x14ac:dyDescent="0.3">
      <c r="B140" s="242" t="str">
        <f t="shared" si="4"/>
        <v>Other items</v>
      </c>
      <c r="C140" s="353" t="str">
        <f>IFERROR(VLOOKUP($B140,'Unit costs'!$B$86:$F$173,5,FALSE)*C111,"")</f>
        <v/>
      </c>
      <c r="D140" s="348" t="str">
        <f>IFERROR(VLOOKUP($B140,'Unit costs'!$B$86:$F$173,5,FALSE)*D111,"")</f>
        <v/>
      </c>
      <c r="E140" s="348" t="str">
        <f>IFERROR(VLOOKUP($B140,'Unit costs'!$B$86:$F$173,5,FALSE)*E111,"")</f>
        <v/>
      </c>
      <c r="F140" s="348" t="str">
        <f>IFERROR(VLOOKUP($B140,'Unit costs'!$B$86:$F$173,5,FALSE)*F111,"")</f>
        <v/>
      </c>
    </row>
    <row r="141" spans="2:6" s="158" customFormat="1" ht="15.75" thickBot="1" x14ac:dyDescent="0.3">
      <c r="B141" s="242" t="str">
        <f t="shared" si="4"/>
        <v>Other items</v>
      </c>
      <c r="C141" s="353" t="str">
        <f>IFERROR(VLOOKUP($B141,'Unit costs'!$B$86:$F$173,5,FALSE)*C112,"")</f>
        <v/>
      </c>
      <c r="D141" s="348" t="str">
        <f>IFERROR(VLOOKUP($B141,'Unit costs'!$B$86:$F$173,5,FALSE)*D112,"")</f>
        <v/>
      </c>
      <c r="E141" s="348" t="str">
        <f>IFERROR(VLOOKUP($B141,'Unit costs'!$B$86:$F$173,5,FALSE)*E112,"")</f>
        <v/>
      </c>
      <c r="F141" s="348" t="str">
        <f>IFERROR(VLOOKUP($B141,'Unit costs'!$B$86:$F$173,5,FALSE)*F112,"")</f>
        <v/>
      </c>
    </row>
    <row r="142" spans="2:6" s="158" customFormat="1" ht="15.75" thickBot="1" x14ac:dyDescent="0.3">
      <c r="B142" s="242" t="str">
        <f t="shared" si="4"/>
        <v>Other items</v>
      </c>
      <c r="C142" s="353" t="str">
        <f>IFERROR(VLOOKUP($B142,'Unit costs'!$B$86:$F$173,5,FALSE)*C113,"")</f>
        <v/>
      </c>
      <c r="D142" s="348" t="str">
        <f>IFERROR(VLOOKUP($B142,'Unit costs'!$B$86:$F$173,5,FALSE)*D113,"")</f>
        <v/>
      </c>
      <c r="E142" s="348" t="str">
        <f>IFERROR(VLOOKUP($B142,'Unit costs'!$B$86:$F$173,5,FALSE)*E113,"")</f>
        <v/>
      </c>
      <c r="F142" s="348" t="str">
        <f>IFERROR(VLOOKUP($B142,'Unit costs'!$B$86:$F$173,5,FALSE)*F113,"")</f>
        <v/>
      </c>
    </row>
    <row r="143" spans="2:6" s="158" customFormat="1" ht="15.75" thickBot="1" x14ac:dyDescent="0.3">
      <c r="B143" s="242" t="str">
        <f t="shared" si="4"/>
        <v>Other items</v>
      </c>
      <c r="C143" s="353" t="str">
        <f>IFERROR(VLOOKUP($B143,'Unit costs'!$B$86:$F$173,5,FALSE)*C114,"")</f>
        <v/>
      </c>
      <c r="D143" s="348" t="str">
        <f>IFERROR(VLOOKUP($B143,'Unit costs'!$B$86:$F$173,5,FALSE)*D114,"")</f>
        <v/>
      </c>
      <c r="E143" s="348" t="str">
        <f>IFERROR(VLOOKUP($B143,'Unit costs'!$B$86:$F$173,5,FALSE)*E114,"")</f>
        <v/>
      </c>
      <c r="F143" s="348" t="str">
        <f>IFERROR(VLOOKUP($B143,'Unit costs'!$B$86:$F$173,5,FALSE)*F114,"")</f>
        <v/>
      </c>
    </row>
    <row r="144" spans="2:6" s="158" customFormat="1" ht="15.75" thickBot="1" x14ac:dyDescent="0.3">
      <c r="B144" s="242" t="str">
        <f t="shared" si="4"/>
        <v>Other items</v>
      </c>
      <c r="C144" s="353" t="str">
        <f>IFERROR(VLOOKUP($B144,'Unit costs'!$B$86:$F$173,5,FALSE)*C115,"")</f>
        <v/>
      </c>
      <c r="D144" s="348" t="str">
        <f>IFERROR(VLOOKUP($B144,'Unit costs'!$B$86:$F$173,5,FALSE)*D115,"")</f>
        <v/>
      </c>
      <c r="E144" s="348" t="str">
        <f>IFERROR(VLOOKUP($B144,'Unit costs'!$B$86:$F$173,5,FALSE)*E115,"")</f>
        <v/>
      </c>
      <c r="F144" s="348" t="str">
        <f>IFERROR(VLOOKUP($B144,'Unit costs'!$B$86:$F$173,5,FALSE)*F115,"")</f>
        <v/>
      </c>
    </row>
    <row r="145" spans="2:13" s="158" customFormat="1" ht="15.75" thickBot="1" x14ac:dyDescent="0.3">
      <c r="B145" s="242" t="str">
        <f t="shared" si="4"/>
        <v>Other items</v>
      </c>
      <c r="C145" s="353" t="str">
        <f>IFERROR(VLOOKUP($B145,'Unit costs'!$B$86:$F$173,5,FALSE)*C116,"")</f>
        <v/>
      </c>
      <c r="D145" s="348" t="str">
        <f>IFERROR(VLOOKUP($B145,'Unit costs'!$B$86:$F$173,5,FALSE)*D116,"")</f>
        <v/>
      </c>
      <c r="E145" s="348" t="str">
        <f>IFERROR(VLOOKUP($B145,'Unit costs'!$B$86:$F$173,5,FALSE)*E116,"")</f>
        <v/>
      </c>
      <c r="F145" s="348" t="str">
        <f>IFERROR(VLOOKUP($B145,'Unit costs'!$B$86:$F$173,5,FALSE)*F116,"")</f>
        <v/>
      </c>
    </row>
    <row r="146" spans="2:13" s="158" customFormat="1" ht="15.75" thickBot="1" x14ac:dyDescent="0.3">
      <c r="B146" s="242" t="str">
        <f t="shared" si="4"/>
        <v>Other items</v>
      </c>
      <c r="C146" s="353" t="str">
        <f>IFERROR(VLOOKUP($B146,'Unit costs'!$B$86:$F$173,5,FALSE)*C117,"")</f>
        <v/>
      </c>
      <c r="D146" s="348" t="str">
        <f>IFERROR(VLOOKUP($B146,'Unit costs'!$B$86:$F$173,5,FALSE)*D117,"")</f>
        <v/>
      </c>
      <c r="E146" s="348" t="str">
        <f>IFERROR(VLOOKUP($B146,'Unit costs'!$B$86:$F$173,5,FALSE)*E117,"")</f>
        <v/>
      </c>
      <c r="F146" s="348" t="str">
        <f>IFERROR(VLOOKUP($B146,'Unit costs'!$B$86:$F$173,5,FALSE)*F117,"")</f>
        <v/>
      </c>
    </row>
    <row r="147" spans="2:13" s="158" customFormat="1" ht="15.75" thickBot="1" x14ac:dyDescent="0.3">
      <c r="B147" s="242" t="str">
        <f t="shared" si="4"/>
        <v>Other items</v>
      </c>
      <c r="C147" s="353" t="str">
        <f>IFERROR(VLOOKUP($B147,'Unit costs'!$B$86:$F$173,5,FALSE)*C118,"")</f>
        <v/>
      </c>
      <c r="D147" s="348" t="str">
        <f>IFERROR(VLOOKUP($B147,'Unit costs'!$B$86:$F$173,5,FALSE)*D118,"")</f>
        <v/>
      </c>
      <c r="E147" s="348" t="str">
        <f>IFERROR(VLOOKUP($B147,'Unit costs'!$B$86:$F$173,5,FALSE)*E118,"")</f>
        <v/>
      </c>
      <c r="F147" s="348" t="str">
        <f>IFERROR(VLOOKUP($B147,'Unit costs'!$B$86:$F$173,5,FALSE)*F118,"")</f>
        <v/>
      </c>
    </row>
    <row r="148" spans="2:13" s="158" customFormat="1" x14ac:dyDescent="0.25">
      <c r="B148" s="242" t="str">
        <f t="shared" si="4"/>
        <v>Other items</v>
      </c>
      <c r="C148" s="353" t="str">
        <f>IFERROR(VLOOKUP($B148,'Unit costs'!$B$86:$F$173,5,FALSE)*C119,"")</f>
        <v/>
      </c>
      <c r="D148" s="348" t="str">
        <f>IFERROR(VLOOKUP($B148,'Unit costs'!$B$86:$F$173,5,FALSE)*D119,"")</f>
        <v/>
      </c>
      <c r="E148" s="348" t="str">
        <f>IFERROR(VLOOKUP($B148,'Unit costs'!$B$86:$F$173,5,FALSE)*E119,"")</f>
        <v/>
      </c>
      <c r="F148" s="348" t="str">
        <f>IFERROR(VLOOKUP($B148,'Unit costs'!$B$86:$F$173,5,FALSE)*F119,"")</f>
        <v/>
      </c>
    </row>
    <row r="149" spans="2:13" s="158" customFormat="1" x14ac:dyDescent="0.25">
      <c r="B149" s="207"/>
      <c r="C149" s="207"/>
      <c r="D149" s="207"/>
      <c r="E149" s="207"/>
      <c r="F149" s="207"/>
      <c r="G149" s="207"/>
      <c r="H149" s="207"/>
      <c r="I149" s="207"/>
      <c r="J149" s="207"/>
      <c r="K149" s="207"/>
      <c r="L149" s="207"/>
    </row>
    <row r="151" spans="2:13" ht="21" customHeight="1" x14ac:dyDescent="0.25">
      <c r="B151" s="444" t="s">
        <v>75</v>
      </c>
      <c r="C151" s="444"/>
      <c r="D151" s="444"/>
      <c r="E151" s="444"/>
      <c r="F151" s="444"/>
      <c r="G151" s="444"/>
      <c r="H151" s="444"/>
      <c r="I151" s="444"/>
      <c r="J151" s="444"/>
      <c r="K151" s="444"/>
      <c r="L151" s="444"/>
      <c r="M151" s="164"/>
    </row>
    <row r="152" spans="2:13" s="158" customFormat="1" ht="15.75" thickBot="1" x14ac:dyDescent="0.3">
      <c r="B152" s="174"/>
      <c r="C152" s="174"/>
      <c r="D152" s="174"/>
      <c r="E152" s="174"/>
      <c r="F152" s="174"/>
      <c r="G152" s="174"/>
      <c r="H152" s="174"/>
      <c r="I152" s="174"/>
      <c r="J152" s="112"/>
      <c r="K152" s="112"/>
      <c r="L152" s="112"/>
    </row>
    <row r="153" spans="2:13" s="158" customFormat="1" ht="45" customHeight="1" thickBot="1" x14ac:dyDescent="0.3">
      <c r="B153" s="139" t="s">
        <v>97</v>
      </c>
      <c r="C153" s="247" t="str">
        <f>'Set up'!B18</f>
        <v>Abbott M2000 RealTime</v>
      </c>
      <c r="D153" s="248" t="str">
        <f>'Set up'!B19</f>
        <v>Abbott M2000 RealTime</v>
      </c>
      <c r="E153" s="248" t="str">
        <f>'Set up'!B20</f>
        <v>Roche COBAS Ampliprep/TaqMan 48</v>
      </c>
      <c r="F153" s="409" t="str">
        <f>'Set up'!B21</f>
        <v>Roche COBAS Ampliprep/TaqMan 48</v>
      </c>
    </row>
    <row r="154" spans="2:13" s="158" customFormat="1" x14ac:dyDescent="0.25">
      <c r="B154" s="244" t="s">
        <v>76</v>
      </c>
      <c r="C154" s="172" t="s">
        <v>531</v>
      </c>
      <c r="D154" s="172"/>
      <c r="E154" s="172"/>
      <c r="F154" s="172"/>
    </row>
    <row r="155" spans="2:13" s="158" customFormat="1" x14ac:dyDescent="0.25">
      <c r="B155" s="184" t="s">
        <v>77</v>
      </c>
      <c r="C155" s="144"/>
      <c r="D155" s="144"/>
      <c r="E155" s="144"/>
      <c r="F155" s="144"/>
    </row>
    <row r="156" spans="2:13" s="158" customFormat="1" x14ac:dyDescent="0.25">
      <c r="B156" s="184" t="s">
        <v>78</v>
      </c>
      <c r="C156" s="144"/>
      <c r="D156" s="144"/>
      <c r="E156" s="144"/>
      <c r="F156" s="144"/>
    </row>
    <row r="157" spans="2:13" s="158" customFormat="1" x14ac:dyDescent="0.25">
      <c r="B157" s="184" t="s">
        <v>79</v>
      </c>
      <c r="C157" s="144"/>
      <c r="D157" s="144"/>
      <c r="E157" s="144"/>
      <c r="F157" s="144"/>
    </row>
    <row r="158" spans="2:13" s="158" customFormat="1" x14ac:dyDescent="0.25">
      <c r="B158" s="184" t="s">
        <v>80</v>
      </c>
      <c r="C158" s="144"/>
      <c r="D158" s="144"/>
      <c r="E158" s="144"/>
      <c r="F158" s="144"/>
    </row>
    <row r="159" spans="2:13" s="158" customFormat="1" x14ac:dyDescent="0.25">
      <c r="B159" s="184" t="s">
        <v>81</v>
      </c>
      <c r="C159" s="144"/>
      <c r="D159" s="144"/>
      <c r="E159" s="144"/>
      <c r="F159" s="144"/>
    </row>
    <row r="160" spans="2:13" s="158" customFormat="1" x14ac:dyDescent="0.25">
      <c r="B160" s="184" t="s">
        <v>82</v>
      </c>
      <c r="C160" s="144"/>
      <c r="D160" s="144"/>
      <c r="E160" s="144"/>
      <c r="F160" s="144"/>
    </row>
    <row r="161" spans="2:12" s="158" customFormat="1" x14ac:dyDescent="0.25">
      <c r="B161" s="184" t="s">
        <v>83</v>
      </c>
      <c r="C161" s="144"/>
      <c r="D161" s="144"/>
      <c r="E161" s="144"/>
      <c r="F161" s="144"/>
    </row>
    <row r="162" spans="2:12" s="158" customFormat="1" x14ac:dyDescent="0.25">
      <c r="B162" s="184" t="s">
        <v>84</v>
      </c>
      <c r="C162" s="144"/>
      <c r="D162" s="144"/>
      <c r="E162" s="144"/>
      <c r="F162" s="144"/>
    </row>
    <row r="163" spans="2:12" s="158" customFormat="1" x14ac:dyDescent="0.25">
      <c r="B163" s="184" t="s">
        <v>85</v>
      </c>
      <c r="C163" s="144"/>
      <c r="D163" s="144"/>
      <c r="E163" s="144"/>
      <c r="F163" s="144"/>
    </row>
    <row r="164" spans="2:12" s="158" customFormat="1" x14ac:dyDescent="0.25"/>
    <row r="165" spans="2:12" s="158" customFormat="1" x14ac:dyDescent="0.25">
      <c r="B165" s="120"/>
      <c r="C165" s="120"/>
      <c r="D165" s="120"/>
      <c r="E165" s="120"/>
      <c r="F165" s="120"/>
      <c r="G165" s="120"/>
      <c r="H165" s="120"/>
      <c r="I165" s="120"/>
      <c r="J165" s="120"/>
      <c r="K165" s="120"/>
      <c r="L165" s="120"/>
    </row>
  </sheetData>
  <sheetProtection password="C441" sheet="1" objects="1" scenarios="1"/>
  <mergeCells count="15">
    <mergeCell ref="B91:G91"/>
    <mergeCell ref="B121:F121"/>
    <mergeCell ref="B151:L151"/>
    <mergeCell ref="B13:L13"/>
    <mergeCell ref="H15:N15"/>
    <mergeCell ref="B51:L51"/>
    <mergeCell ref="B53:F53"/>
    <mergeCell ref="B71:F71"/>
    <mergeCell ref="B89:L89"/>
    <mergeCell ref="B6:G6"/>
    <mergeCell ref="B1:D1"/>
    <mergeCell ref="E1:G1"/>
    <mergeCell ref="B2:D2"/>
    <mergeCell ref="B3:D3"/>
    <mergeCell ref="B4:D4"/>
  </mergeCells>
  <dataValidations count="3">
    <dataValidation type="list" allowBlank="1" showInputMessage="1" showErrorMessage="1" sqref="WVK983082:WVQ983082 IO16:IU16 SK16:SQ16 ACG16:ACM16 AMC16:AMI16 AVY16:AWE16 BFU16:BGA16 BPQ16:BPW16 BZM16:BZS16 CJI16:CJO16 CTE16:CTK16 DDA16:DDG16 DMW16:DNC16 DWS16:DWY16 EGO16:EGU16 EQK16:EQQ16 FAG16:FAM16 FKC16:FKI16 FTY16:FUE16 GDU16:GEA16 GNQ16:GNW16 GXM16:GXS16 HHI16:HHO16 HRE16:HRK16 IBA16:IBG16 IKW16:ILC16 IUS16:IUY16 JEO16:JEU16 JOK16:JOQ16 JYG16:JYM16 KIC16:KII16 KRY16:KSE16 LBU16:LCA16 LLQ16:LLW16 LVM16:LVS16 MFI16:MFO16 MPE16:MPK16 MZA16:MZG16 NIW16:NJC16 NSS16:NSY16 OCO16:OCU16 OMK16:OMQ16 OWG16:OWM16 PGC16:PGI16 PPY16:PQE16 PZU16:QAA16 QJQ16:QJW16 QTM16:QTS16 RDI16:RDO16 RNE16:RNK16 RXA16:RXG16 SGW16:SHC16 SQS16:SQY16 TAO16:TAU16 TKK16:TKQ16 TUG16:TUM16 UEC16:UEI16 UNY16:UOE16 UXU16:UYA16 VHQ16:VHW16 VRM16:VRS16 WBI16:WBO16 WLE16:WLK16 WVA16:WVG16 C65577:I65577 IY65578:JE65578 SU65578:TA65578 ACQ65578:ACW65578 AMM65578:AMS65578 AWI65578:AWO65578 BGE65578:BGK65578 BQA65578:BQG65578 BZW65578:CAC65578 CJS65578:CJY65578 CTO65578:CTU65578 DDK65578:DDQ65578 DNG65578:DNM65578 DXC65578:DXI65578 EGY65578:EHE65578 EQU65578:ERA65578 FAQ65578:FAW65578 FKM65578:FKS65578 FUI65578:FUO65578 GEE65578:GEK65578 GOA65578:GOG65578 GXW65578:GYC65578 HHS65578:HHY65578 HRO65578:HRU65578 IBK65578:IBQ65578 ILG65578:ILM65578 IVC65578:IVI65578 JEY65578:JFE65578 JOU65578:JPA65578 JYQ65578:JYW65578 KIM65578:KIS65578 KSI65578:KSO65578 LCE65578:LCK65578 LMA65578:LMG65578 LVW65578:LWC65578 MFS65578:MFY65578 MPO65578:MPU65578 MZK65578:MZQ65578 NJG65578:NJM65578 NTC65578:NTI65578 OCY65578:ODE65578 OMU65578:ONA65578 OWQ65578:OWW65578 PGM65578:PGS65578 PQI65578:PQO65578 QAE65578:QAK65578 QKA65578:QKG65578 QTW65578:QUC65578 RDS65578:RDY65578 RNO65578:RNU65578 RXK65578:RXQ65578 SHG65578:SHM65578 SRC65578:SRI65578 TAY65578:TBE65578 TKU65578:TLA65578 TUQ65578:TUW65578 UEM65578:UES65578 UOI65578:UOO65578 UYE65578:UYK65578 VIA65578:VIG65578 VRW65578:VSC65578 WBS65578:WBY65578 WLO65578:WLU65578 WVK65578:WVQ65578 C131113:I131113 IY131114:JE131114 SU131114:TA131114 ACQ131114:ACW131114 AMM131114:AMS131114 AWI131114:AWO131114 BGE131114:BGK131114 BQA131114:BQG131114 BZW131114:CAC131114 CJS131114:CJY131114 CTO131114:CTU131114 DDK131114:DDQ131114 DNG131114:DNM131114 DXC131114:DXI131114 EGY131114:EHE131114 EQU131114:ERA131114 FAQ131114:FAW131114 FKM131114:FKS131114 FUI131114:FUO131114 GEE131114:GEK131114 GOA131114:GOG131114 GXW131114:GYC131114 HHS131114:HHY131114 HRO131114:HRU131114 IBK131114:IBQ131114 ILG131114:ILM131114 IVC131114:IVI131114 JEY131114:JFE131114 JOU131114:JPA131114 JYQ131114:JYW131114 KIM131114:KIS131114 KSI131114:KSO131114 LCE131114:LCK131114 LMA131114:LMG131114 LVW131114:LWC131114 MFS131114:MFY131114 MPO131114:MPU131114 MZK131114:MZQ131114 NJG131114:NJM131114 NTC131114:NTI131114 OCY131114:ODE131114 OMU131114:ONA131114 OWQ131114:OWW131114 PGM131114:PGS131114 PQI131114:PQO131114 QAE131114:QAK131114 QKA131114:QKG131114 QTW131114:QUC131114 RDS131114:RDY131114 RNO131114:RNU131114 RXK131114:RXQ131114 SHG131114:SHM131114 SRC131114:SRI131114 TAY131114:TBE131114 TKU131114:TLA131114 TUQ131114:TUW131114 UEM131114:UES131114 UOI131114:UOO131114 UYE131114:UYK131114 VIA131114:VIG131114 VRW131114:VSC131114 WBS131114:WBY131114 WLO131114:WLU131114 WVK131114:WVQ131114 C196649:I196649 IY196650:JE196650 SU196650:TA196650 ACQ196650:ACW196650 AMM196650:AMS196650 AWI196650:AWO196650 BGE196650:BGK196650 BQA196650:BQG196650 BZW196650:CAC196650 CJS196650:CJY196650 CTO196650:CTU196650 DDK196650:DDQ196650 DNG196650:DNM196650 DXC196650:DXI196650 EGY196650:EHE196650 EQU196650:ERA196650 FAQ196650:FAW196650 FKM196650:FKS196650 FUI196650:FUO196650 GEE196650:GEK196650 GOA196650:GOG196650 GXW196650:GYC196650 HHS196650:HHY196650 HRO196650:HRU196650 IBK196650:IBQ196650 ILG196650:ILM196650 IVC196650:IVI196650 JEY196650:JFE196650 JOU196650:JPA196650 JYQ196650:JYW196650 KIM196650:KIS196650 KSI196650:KSO196650 LCE196650:LCK196650 LMA196650:LMG196650 LVW196650:LWC196650 MFS196650:MFY196650 MPO196650:MPU196650 MZK196650:MZQ196650 NJG196650:NJM196650 NTC196650:NTI196650 OCY196650:ODE196650 OMU196650:ONA196650 OWQ196650:OWW196650 PGM196650:PGS196650 PQI196650:PQO196650 QAE196650:QAK196650 QKA196650:QKG196650 QTW196650:QUC196650 RDS196650:RDY196650 RNO196650:RNU196650 RXK196650:RXQ196650 SHG196650:SHM196650 SRC196650:SRI196650 TAY196650:TBE196650 TKU196650:TLA196650 TUQ196650:TUW196650 UEM196650:UES196650 UOI196650:UOO196650 UYE196650:UYK196650 VIA196650:VIG196650 VRW196650:VSC196650 WBS196650:WBY196650 WLO196650:WLU196650 WVK196650:WVQ196650 C262185:I262185 IY262186:JE262186 SU262186:TA262186 ACQ262186:ACW262186 AMM262186:AMS262186 AWI262186:AWO262186 BGE262186:BGK262186 BQA262186:BQG262186 BZW262186:CAC262186 CJS262186:CJY262186 CTO262186:CTU262186 DDK262186:DDQ262186 DNG262186:DNM262186 DXC262186:DXI262186 EGY262186:EHE262186 EQU262186:ERA262186 FAQ262186:FAW262186 FKM262186:FKS262186 FUI262186:FUO262186 GEE262186:GEK262186 GOA262186:GOG262186 GXW262186:GYC262186 HHS262186:HHY262186 HRO262186:HRU262186 IBK262186:IBQ262186 ILG262186:ILM262186 IVC262186:IVI262186 JEY262186:JFE262186 JOU262186:JPA262186 JYQ262186:JYW262186 KIM262186:KIS262186 KSI262186:KSO262186 LCE262186:LCK262186 LMA262186:LMG262186 LVW262186:LWC262186 MFS262186:MFY262186 MPO262186:MPU262186 MZK262186:MZQ262186 NJG262186:NJM262186 NTC262186:NTI262186 OCY262186:ODE262186 OMU262186:ONA262186 OWQ262186:OWW262186 PGM262186:PGS262186 PQI262186:PQO262186 QAE262186:QAK262186 QKA262186:QKG262186 QTW262186:QUC262186 RDS262186:RDY262186 RNO262186:RNU262186 RXK262186:RXQ262186 SHG262186:SHM262186 SRC262186:SRI262186 TAY262186:TBE262186 TKU262186:TLA262186 TUQ262186:TUW262186 UEM262186:UES262186 UOI262186:UOO262186 UYE262186:UYK262186 VIA262186:VIG262186 VRW262186:VSC262186 WBS262186:WBY262186 WLO262186:WLU262186 WVK262186:WVQ262186 C327721:I327721 IY327722:JE327722 SU327722:TA327722 ACQ327722:ACW327722 AMM327722:AMS327722 AWI327722:AWO327722 BGE327722:BGK327722 BQA327722:BQG327722 BZW327722:CAC327722 CJS327722:CJY327722 CTO327722:CTU327722 DDK327722:DDQ327722 DNG327722:DNM327722 DXC327722:DXI327722 EGY327722:EHE327722 EQU327722:ERA327722 FAQ327722:FAW327722 FKM327722:FKS327722 FUI327722:FUO327722 GEE327722:GEK327722 GOA327722:GOG327722 GXW327722:GYC327722 HHS327722:HHY327722 HRO327722:HRU327722 IBK327722:IBQ327722 ILG327722:ILM327722 IVC327722:IVI327722 JEY327722:JFE327722 JOU327722:JPA327722 JYQ327722:JYW327722 KIM327722:KIS327722 KSI327722:KSO327722 LCE327722:LCK327722 LMA327722:LMG327722 LVW327722:LWC327722 MFS327722:MFY327722 MPO327722:MPU327722 MZK327722:MZQ327722 NJG327722:NJM327722 NTC327722:NTI327722 OCY327722:ODE327722 OMU327722:ONA327722 OWQ327722:OWW327722 PGM327722:PGS327722 PQI327722:PQO327722 QAE327722:QAK327722 QKA327722:QKG327722 QTW327722:QUC327722 RDS327722:RDY327722 RNO327722:RNU327722 RXK327722:RXQ327722 SHG327722:SHM327722 SRC327722:SRI327722 TAY327722:TBE327722 TKU327722:TLA327722 TUQ327722:TUW327722 UEM327722:UES327722 UOI327722:UOO327722 UYE327722:UYK327722 VIA327722:VIG327722 VRW327722:VSC327722 WBS327722:WBY327722 WLO327722:WLU327722 WVK327722:WVQ327722 C393257:I393257 IY393258:JE393258 SU393258:TA393258 ACQ393258:ACW393258 AMM393258:AMS393258 AWI393258:AWO393258 BGE393258:BGK393258 BQA393258:BQG393258 BZW393258:CAC393258 CJS393258:CJY393258 CTO393258:CTU393258 DDK393258:DDQ393258 DNG393258:DNM393258 DXC393258:DXI393258 EGY393258:EHE393258 EQU393258:ERA393258 FAQ393258:FAW393258 FKM393258:FKS393258 FUI393258:FUO393258 GEE393258:GEK393258 GOA393258:GOG393258 GXW393258:GYC393258 HHS393258:HHY393258 HRO393258:HRU393258 IBK393258:IBQ393258 ILG393258:ILM393258 IVC393258:IVI393258 JEY393258:JFE393258 JOU393258:JPA393258 JYQ393258:JYW393258 KIM393258:KIS393258 KSI393258:KSO393258 LCE393258:LCK393258 LMA393258:LMG393258 LVW393258:LWC393258 MFS393258:MFY393258 MPO393258:MPU393258 MZK393258:MZQ393258 NJG393258:NJM393258 NTC393258:NTI393258 OCY393258:ODE393258 OMU393258:ONA393258 OWQ393258:OWW393258 PGM393258:PGS393258 PQI393258:PQO393258 QAE393258:QAK393258 QKA393258:QKG393258 QTW393258:QUC393258 RDS393258:RDY393258 RNO393258:RNU393258 RXK393258:RXQ393258 SHG393258:SHM393258 SRC393258:SRI393258 TAY393258:TBE393258 TKU393258:TLA393258 TUQ393258:TUW393258 UEM393258:UES393258 UOI393258:UOO393258 UYE393258:UYK393258 VIA393258:VIG393258 VRW393258:VSC393258 WBS393258:WBY393258 WLO393258:WLU393258 WVK393258:WVQ393258 C458793:I458793 IY458794:JE458794 SU458794:TA458794 ACQ458794:ACW458794 AMM458794:AMS458794 AWI458794:AWO458794 BGE458794:BGK458794 BQA458794:BQG458794 BZW458794:CAC458794 CJS458794:CJY458794 CTO458794:CTU458794 DDK458794:DDQ458794 DNG458794:DNM458794 DXC458794:DXI458794 EGY458794:EHE458794 EQU458794:ERA458794 FAQ458794:FAW458794 FKM458794:FKS458794 FUI458794:FUO458794 GEE458794:GEK458794 GOA458794:GOG458794 GXW458794:GYC458794 HHS458794:HHY458794 HRO458794:HRU458794 IBK458794:IBQ458794 ILG458794:ILM458794 IVC458794:IVI458794 JEY458794:JFE458794 JOU458794:JPA458794 JYQ458794:JYW458794 KIM458794:KIS458794 KSI458794:KSO458794 LCE458794:LCK458794 LMA458794:LMG458794 LVW458794:LWC458794 MFS458794:MFY458794 MPO458794:MPU458794 MZK458794:MZQ458794 NJG458794:NJM458794 NTC458794:NTI458794 OCY458794:ODE458794 OMU458794:ONA458794 OWQ458794:OWW458794 PGM458794:PGS458794 PQI458794:PQO458794 QAE458794:QAK458794 QKA458794:QKG458794 QTW458794:QUC458794 RDS458794:RDY458794 RNO458794:RNU458794 RXK458794:RXQ458794 SHG458794:SHM458794 SRC458794:SRI458794 TAY458794:TBE458794 TKU458794:TLA458794 TUQ458794:TUW458794 UEM458794:UES458794 UOI458794:UOO458794 UYE458794:UYK458794 VIA458794:VIG458794 VRW458794:VSC458794 WBS458794:WBY458794 WLO458794:WLU458794 WVK458794:WVQ458794 C524329:I524329 IY524330:JE524330 SU524330:TA524330 ACQ524330:ACW524330 AMM524330:AMS524330 AWI524330:AWO524330 BGE524330:BGK524330 BQA524330:BQG524330 BZW524330:CAC524330 CJS524330:CJY524330 CTO524330:CTU524330 DDK524330:DDQ524330 DNG524330:DNM524330 DXC524330:DXI524330 EGY524330:EHE524330 EQU524330:ERA524330 FAQ524330:FAW524330 FKM524330:FKS524330 FUI524330:FUO524330 GEE524330:GEK524330 GOA524330:GOG524330 GXW524330:GYC524330 HHS524330:HHY524330 HRO524330:HRU524330 IBK524330:IBQ524330 ILG524330:ILM524330 IVC524330:IVI524330 JEY524330:JFE524330 JOU524330:JPA524330 JYQ524330:JYW524330 KIM524330:KIS524330 KSI524330:KSO524330 LCE524330:LCK524330 LMA524330:LMG524330 LVW524330:LWC524330 MFS524330:MFY524330 MPO524330:MPU524330 MZK524330:MZQ524330 NJG524330:NJM524330 NTC524330:NTI524330 OCY524330:ODE524330 OMU524330:ONA524330 OWQ524330:OWW524330 PGM524330:PGS524330 PQI524330:PQO524330 QAE524330:QAK524330 QKA524330:QKG524330 QTW524330:QUC524330 RDS524330:RDY524330 RNO524330:RNU524330 RXK524330:RXQ524330 SHG524330:SHM524330 SRC524330:SRI524330 TAY524330:TBE524330 TKU524330:TLA524330 TUQ524330:TUW524330 UEM524330:UES524330 UOI524330:UOO524330 UYE524330:UYK524330 VIA524330:VIG524330 VRW524330:VSC524330 WBS524330:WBY524330 WLO524330:WLU524330 WVK524330:WVQ524330 C589865:I589865 IY589866:JE589866 SU589866:TA589866 ACQ589866:ACW589866 AMM589866:AMS589866 AWI589866:AWO589866 BGE589866:BGK589866 BQA589866:BQG589866 BZW589866:CAC589866 CJS589866:CJY589866 CTO589866:CTU589866 DDK589866:DDQ589866 DNG589866:DNM589866 DXC589866:DXI589866 EGY589866:EHE589866 EQU589866:ERA589866 FAQ589866:FAW589866 FKM589866:FKS589866 FUI589866:FUO589866 GEE589866:GEK589866 GOA589866:GOG589866 GXW589866:GYC589866 HHS589866:HHY589866 HRO589866:HRU589866 IBK589866:IBQ589866 ILG589866:ILM589866 IVC589866:IVI589866 JEY589866:JFE589866 JOU589866:JPA589866 JYQ589866:JYW589866 KIM589866:KIS589866 KSI589866:KSO589866 LCE589866:LCK589866 LMA589866:LMG589866 LVW589866:LWC589866 MFS589866:MFY589866 MPO589866:MPU589866 MZK589866:MZQ589866 NJG589866:NJM589866 NTC589866:NTI589866 OCY589866:ODE589866 OMU589866:ONA589866 OWQ589866:OWW589866 PGM589866:PGS589866 PQI589866:PQO589866 QAE589866:QAK589866 QKA589866:QKG589866 QTW589866:QUC589866 RDS589866:RDY589866 RNO589866:RNU589866 RXK589866:RXQ589866 SHG589866:SHM589866 SRC589866:SRI589866 TAY589866:TBE589866 TKU589866:TLA589866 TUQ589866:TUW589866 UEM589866:UES589866 UOI589866:UOO589866 UYE589866:UYK589866 VIA589866:VIG589866 VRW589866:VSC589866 WBS589866:WBY589866 WLO589866:WLU589866 WVK589866:WVQ589866 C655401:I655401 IY655402:JE655402 SU655402:TA655402 ACQ655402:ACW655402 AMM655402:AMS655402 AWI655402:AWO655402 BGE655402:BGK655402 BQA655402:BQG655402 BZW655402:CAC655402 CJS655402:CJY655402 CTO655402:CTU655402 DDK655402:DDQ655402 DNG655402:DNM655402 DXC655402:DXI655402 EGY655402:EHE655402 EQU655402:ERA655402 FAQ655402:FAW655402 FKM655402:FKS655402 FUI655402:FUO655402 GEE655402:GEK655402 GOA655402:GOG655402 GXW655402:GYC655402 HHS655402:HHY655402 HRO655402:HRU655402 IBK655402:IBQ655402 ILG655402:ILM655402 IVC655402:IVI655402 JEY655402:JFE655402 JOU655402:JPA655402 JYQ655402:JYW655402 KIM655402:KIS655402 KSI655402:KSO655402 LCE655402:LCK655402 LMA655402:LMG655402 LVW655402:LWC655402 MFS655402:MFY655402 MPO655402:MPU655402 MZK655402:MZQ655402 NJG655402:NJM655402 NTC655402:NTI655402 OCY655402:ODE655402 OMU655402:ONA655402 OWQ655402:OWW655402 PGM655402:PGS655402 PQI655402:PQO655402 QAE655402:QAK655402 QKA655402:QKG655402 QTW655402:QUC655402 RDS655402:RDY655402 RNO655402:RNU655402 RXK655402:RXQ655402 SHG655402:SHM655402 SRC655402:SRI655402 TAY655402:TBE655402 TKU655402:TLA655402 TUQ655402:TUW655402 UEM655402:UES655402 UOI655402:UOO655402 UYE655402:UYK655402 VIA655402:VIG655402 VRW655402:VSC655402 WBS655402:WBY655402 WLO655402:WLU655402 WVK655402:WVQ655402 C720937:I720937 IY720938:JE720938 SU720938:TA720938 ACQ720938:ACW720938 AMM720938:AMS720938 AWI720938:AWO720938 BGE720938:BGK720938 BQA720938:BQG720938 BZW720938:CAC720938 CJS720938:CJY720938 CTO720938:CTU720938 DDK720938:DDQ720938 DNG720938:DNM720938 DXC720938:DXI720938 EGY720938:EHE720938 EQU720938:ERA720938 FAQ720938:FAW720938 FKM720938:FKS720938 FUI720938:FUO720938 GEE720938:GEK720938 GOA720938:GOG720938 GXW720938:GYC720938 HHS720938:HHY720938 HRO720938:HRU720938 IBK720938:IBQ720938 ILG720938:ILM720938 IVC720938:IVI720938 JEY720938:JFE720938 JOU720938:JPA720938 JYQ720938:JYW720938 KIM720938:KIS720938 KSI720938:KSO720938 LCE720938:LCK720938 LMA720938:LMG720938 LVW720938:LWC720938 MFS720938:MFY720938 MPO720938:MPU720938 MZK720938:MZQ720938 NJG720938:NJM720938 NTC720938:NTI720938 OCY720938:ODE720938 OMU720938:ONA720938 OWQ720938:OWW720938 PGM720938:PGS720938 PQI720938:PQO720938 QAE720938:QAK720938 QKA720938:QKG720938 QTW720938:QUC720938 RDS720938:RDY720938 RNO720938:RNU720938 RXK720938:RXQ720938 SHG720938:SHM720938 SRC720938:SRI720938 TAY720938:TBE720938 TKU720938:TLA720938 TUQ720938:TUW720938 UEM720938:UES720938 UOI720938:UOO720938 UYE720938:UYK720938 VIA720938:VIG720938 VRW720938:VSC720938 WBS720938:WBY720938 WLO720938:WLU720938 WVK720938:WVQ720938 C786473:I786473 IY786474:JE786474 SU786474:TA786474 ACQ786474:ACW786474 AMM786474:AMS786474 AWI786474:AWO786474 BGE786474:BGK786474 BQA786474:BQG786474 BZW786474:CAC786474 CJS786474:CJY786474 CTO786474:CTU786474 DDK786474:DDQ786474 DNG786474:DNM786474 DXC786474:DXI786474 EGY786474:EHE786474 EQU786474:ERA786474 FAQ786474:FAW786474 FKM786474:FKS786474 FUI786474:FUO786474 GEE786474:GEK786474 GOA786474:GOG786474 GXW786474:GYC786474 HHS786474:HHY786474 HRO786474:HRU786474 IBK786474:IBQ786474 ILG786474:ILM786474 IVC786474:IVI786474 JEY786474:JFE786474 JOU786474:JPA786474 JYQ786474:JYW786474 KIM786474:KIS786474 KSI786474:KSO786474 LCE786474:LCK786474 LMA786474:LMG786474 LVW786474:LWC786474 MFS786474:MFY786474 MPO786474:MPU786474 MZK786474:MZQ786474 NJG786474:NJM786474 NTC786474:NTI786474 OCY786474:ODE786474 OMU786474:ONA786474 OWQ786474:OWW786474 PGM786474:PGS786474 PQI786474:PQO786474 QAE786474:QAK786474 QKA786474:QKG786474 QTW786474:QUC786474 RDS786474:RDY786474 RNO786474:RNU786474 RXK786474:RXQ786474 SHG786474:SHM786474 SRC786474:SRI786474 TAY786474:TBE786474 TKU786474:TLA786474 TUQ786474:TUW786474 UEM786474:UES786474 UOI786474:UOO786474 UYE786474:UYK786474 VIA786474:VIG786474 VRW786474:VSC786474 WBS786474:WBY786474 WLO786474:WLU786474 WVK786474:WVQ786474 C852009:I852009 IY852010:JE852010 SU852010:TA852010 ACQ852010:ACW852010 AMM852010:AMS852010 AWI852010:AWO852010 BGE852010:BGK852010 BQA852010:BQG852010 BZW852010:CAC852010 CJS852010:CJY852010 CTO852010:CTU852010 DDK852010:DDQ852010 DNG852010:DNM852010 DXC852010:DXI852010 EGY852010:EHE852010 EQU852010:ERA852010 FAQ852010:FAW852010 FKM852010:FKS852010 FUI852010:FUO852010 GEE852010:GEK852010 GOA852010:GOG852010 GXW852010:GYC852010 HHS852010:HHY852010 HRO852010:HRU852010 IBK852010:IBQ852010 ILG852010:ILM852010 IVC852010:IVI852010 JEY852010:JFE852010 JOU852010:JPA852010 JYQ852010:JYW852010 KIM852010:KIS852010 KSI852010:KSO852010 LCE852010:LCK852010 LMA852010:LMG852010 LVW852010:LWC852010 MFS852010:MFY852010 MPO852010:MPU852010 MZK852010:MZQ852010 NJG852010:NJM852010 NTC852010:NTI852010 OCY852010:ODE852010 OMU852010:ONA852010 OWQ852010:OWW852010 PGM852010:PGS852010 PQI852010:PQO852010 QAE852010:QAK852010 QKA852010:QKG852010 QTW852010:QUC852010 RDS852010:RDY852010 RNO852010:RNU852010 RXK852010:RXQ852010 SHG852010:SHM852010 SRC852010:SRI852010 TAY852010:TBE852010 TKU852010:TLA852010 TUQ852010:TUW852010 UEM852010:UES852010 UOI852010:UOO852010 UYE852010:UYK852010 VIA852010:VIG852010 VRW852010:VSC852010 WBS852010:WBY852010 WLO852010:WLU852010 WVK852010:WVQ852010 C917545:I917545 IY917546:JE917546 SU917546:TA917546 ACQ917546:ACW917546 AMM917546:AMS917546 AWI917546:AWO917546 BGE917546:BGK917546 BQA917546:BQG917546 BZW917546:CAC917546 CJS917546:CJY917546 CTO917546:CTU917546 DDK917546:DDQ917546 DNG917546:DNM917546 DXC917546:DXI917546 EGY917546:EHE917546 EQU917546:ERA917546 FAQ917546:FAW917546 FKM917546:FKS917546 FUI917546:FUO917546 GEE917546:GEK917546 GOA917546:GOG917546 GXW917546:GYC917546 HHS917546:HHY917546 HRO917546:HRU917546 IBK917546:IBQ917546 ILG917546:ILM917546 IVC917546:IVI917546 JEY917546:JFE917546 JOU917546:JPA917546 JYQ917546:JYW917546 KIM917546:KIS917546 KSI917546:KSO917546 LCE917546:LCK917546 LMA917546:LMG917546 LVW917546:LWC917546 MFS917546:MFY917546 MPO917546:MPU917546 MZK917546:MZQ917546 NJG917546:NJM917546 NTC917546:NTI917546 OCY917546:ODE917546 OMU917546:ONA917546 OWQ917546:OWW917546 PGM917546:PGS917546 PQI917546:PQO917546 QAE917546:QAK917546 QKA917546:QKG917546 QTW917546:QUC917546 RDS917546:RDY917546 RNO917546:RNU917546 RXK917546:RXQ917546 SHG917546:SHM917546 SRC917546:SRI917546 TAY917546:TBE917546 TKU917546:TLA917546 TUQ917546:TUW917546 UEM917546:UES917546 UOI917546:UOO917546 UYE917546:UYK917546 VIA917546:VIG917546 VRW917546:VSC917546 WBS917546:WBY917546 WLO917546:WLU917546 WVK917546:WVQ917546 C983081:I983081 IY983082:JE983082 SU983082:TA983082 ACQ983082:ACW983082 AMM983082:AMS983082 AWI983082:AWO983082 BGE983082:BGK983082 BQA983082:BQG983082 BZW983082:CAC983082 CJS983082:CJY983082 CTO983082:CTU983082 DDK983082:DDQ983082 DNG983082:DNM983082 DXC983082:DXI983082 EGY983082:EHE983082 EQU983082:ERA983082 FAQ983082:FAW983082 FKM983082:FKS983082 FUI983082:FUO983082 GEE983082:GEK983082 GOA983082:GOG983082 GXW983082:GYC983082 HHS983082:HHY983082 HRO983082:HRU983082 IBK983082:IBQ983082 ILG983082:ILM983082 IVC983082:IVI983082 JEY983082:JFE983082 JOU983082:JPA983082 JYQ983082:JYW983082 KIM983082:KIS983082 KSI983082:KSO983082 LCE983082:LCK983082 LMA983082:LMG983082 LVW983082:LWC983082 MFS983082:MFY983082 MPO983082:MPU983082 MZK983082:MZQ983082 NJG983082:NJM983082 NTC983082:NTI983082 OCY983082:ODE983082 OMU983082:ONA983082 OWQ983082:OWW983082 PGM983082:PGS983082 PQI983082:PQO983082 QAE983082:QAK983082 QKA983082:QKG983082 QTW983082:QUC983082 RDS983082:RDY983082 RNO983082:RNU983082 RXK983082:RXQ983082 SHG983082:SHM983082 SRC983082:SRI983082 TAY983082:TBE983082 TKU983082:TLA983082 TUQ983082:TUW983082 UEM983082:UES983082 UOI983082:UOO983082 UYE983082:UYK983082 VIA983082:VIG983082 VRW983082:VSC983082 WBS983082:WBY983082 WLO983082:WLU983082">
      <formula1>Visit_types</formula1>
    </dataValidation>
    <dataValidation type="list" allowBlank="1" showInputMessage="1" showErrorMessage="1" sqref="WVR983082 C65615:I65615 IY65616:JE65616 SU65616:TA65616 ACQ65616:ACW65616 AMM65616:AMS65616 AWI65616:AWO65616 BGE65616:BGK65616 BQA65616:BQG65616 BZW65616:CAC65616 CJS65616:CJY65616 CTO65616:CTU65616 DDK65616:DDQ65616 DNG65616:DNM65616 DXC65616:DXI65616 EGY65616:EHE65616 EQU65616:ERA65616 FAQ65616:FAW65616 FKM65616:FKS65616 FUI65616:FUO65616 GEE65616:GEK65616 GOA65616:GOG65616 GXW65616:GYC65616 HHS65616:HHY65616 HRO65616:HRU65616 IBK65616:IBQ65616 ILG65616:ILM65616 IVC65616:IVI65616 JEY65616:JFE65616 JOU65616:JPA65616 JYQ65616:JYW65616 KIM65616:KIS65616 KSI65616:KSO65616 LCE65616:LCK65616 LMA65616:LMG65616 LVW65616:LWC65616 MFS65616:MFY65616 MPO65616:MPU65616 MZK65616:MZQ65616 NJG65616:NJM65616 NTC65616:NTI65616 OCY65616:ODE65616 OMU65616:ONA65616 OWQ65616:OWW65616 PGM65616:PGS65616 PQI65616:PQO65616 QAE65616:QAK65616 QKA65616:QKG65616 QTW65616:QUC65616 RDS65616:RDY65616 RNO65616:RNU65616 RXK65616:RXQ65616 SHG65616:SHM65616 SRC65616:SRI65616 TAY65616:TBE65616 TKU65616:TLA65616 TUQ65616:TUW65616 UEM65616:UES65616 UOI65616:UOO65616 UYE65616:UYK65616 VIA65616:VIG65616 VRW65616:VSC65616 WBS65616:WBY65616 WLO65616:WLU65616 WVK65616:WVQ65616 C131151:I131151 IY131152:JE131152 SU131152:TA131152 ACQ131152:ACW131152 AMM131152:AMS131152 AWI131152:AWO131152 BGE131152:BGK131152 BQA131152:BQG131152 BZW131152:CAC131152 CJS131152:CJY131152 CTO131152:CTU131152 DDK131152:DDQ131152 DNG131152:DNM131152 DXC131152:DXI131152 EGY131152:EHE131152 EQU131152:ERA131152 FAQ131152:FAW131152 FKM131152:FKS131152 FUI131152:FUO131152 GEE131152:GEK131152 GOA131152:GOG131152 GXW131152:GYC131152 HHS131152:HHY131152 HRO131152:HRU131152 IBK131152:IBQ131152 ILG131152:ILM131152 IVC131152:IVI131152 JEY131152:JFE131152 JOU131152:JPA131152 JYQ131152:JYW131152 KIM131152:KIS131152 KSI131152:KSO131152 LCE131152:LCK131152 LMA131152:LMG131152 LVW131152:LWC131152 MFS131152:MFY131152 MPO131152:MPU131152 MZK131152:MZQ131152 NJG131152:NJM131152 NTC131152:NTI131152 OCY131152:ODE131152 OMU131152:ONA131152 OWQ131152:OWW131152 PGM131152:PGS131152 PQI131152:PQO131152 QAE131152:QAK131152 QKA131152:QKG131152 QTW131152:QUC131152 RDS131152:RDY131152 RNO131152:RNU131152 RXK131152:RXQ131152 SHG131152:SHM131152 SRC131152:SRI131152 TAY131152:TBE131152 TKU131152:TLA131152 TUQ131152:TUW131152 UEM131152:UES131152 UOI131152:UOO131152 UYE131152:UYK131152 VIA131152:VIG131152 VRW131152:VSC131152 WBS131152:WBY131152 WLO131152:WLU131152 WVK131152:WVQ131152 C196687:I196687 IY196688:JE196688 SU196688:TA196688 ACQ196688:ACW196688 AMM196688:AMS196688 AWI196688:AWO196688 BGE196688:BGK196688 BQA196688:BQG196688 BZW196688:CAC196688 CJS196688:CJY196688 CTO196688:CTU196688 DDK196688:DDQ196688 DNG196688:DNM196688 DXC196688:DXI196688 EGY196688:EHE196688 EQU196688:ERA196688 FAQ196688:FAW196688 FKM196688:FKS196688 FUI196688:FUO196688 GEE196688:GEK196688 GOA196688:GOG196688 GXW196688:GYC196688 HHS196688:HHY196688 HRO196688:HRU196688 IBK196688:IBQ196688 ILG196688:ILM196688 IVC196688:IVI196688 JEY196688:JFE196688 JOU196688:JPA196688 JYQ196688:JYW196688 KIM196688:KIS196688 KSI196688:KSO196688 LCE196688:LCK196688 LMA196688:LMG196688 LVW196688:LWC196688 MFS196688:MFY196688 MPO196688:MPU196688 MZK196688:MZQ196688 NJG196688:NJM196688 NTC196688:NTI196688 OCY196688:ODE196688 OMU196688:ONA196688 OWQ196688:OWW196688 PGM196688:PGS196688 PQI196688:PQO196688 QAE196688:QAK196688 QKA196688:QKG196688 QTW196688:QUC196688 RDS196688:RDY196688 RNO196688:RNU196688 RXK196688:RXQ196688 SHG196688:SHM196688 SRC196688:SRI196688 TAY196688:TBE196688 TKU196688:TLA196688 TUQ196688:TUW196688 UEM196688:UES196688 UOI196688:UOO196688 UYE196688:UYK196688 VIA196688:VIG196688 VRW196688:VSC196688 WBS196688:WBY196688 WLO196688:WLU196688 WVK196688:WVQ196688 C262223:I262223 IY262224:JE262224 SU262224:TA262224 ACQ262224:ACW262224 AMM262224:AMS262224 AWI262224:AWO262224 BGE262224:BGK262224 BQA262224:BQG262224 BZW262224:CAC262224 CJS262224:CJY262224 CTO262224:CTU262224 DDK262224:DDQ262224 DNG262224:DNM262224 DXC262224:DXI262224 EGY262224:EHE262224 EQU262224:ERA262224 FAQ262224:FAW262224 FKM262224:FKS262224 FUI262224:FUO262224 GEE262224:GEK262224 GOA262224:GOG262224 GXW262224:GYC262224 HHS262224:HHY262224 HRO262224:HRU262224 IBK262224:IBQ262224 ILG262224:ILM262224 IVC262224:IVI262224 JEY262224:JFE262224 JOU262224:JPA262224 JYQ262224:JYW262224 KIM262224:KIS262224 KSI262224:KSO262224 LCE262224:LCK262224 LMA262224:LMG262224 LVW262224:LWC262224 MFS262224:MFY262224 MPO262224:MPU262224 MZK262224:MZQ262224 NJG262224:NJM262224 NTC262224:NTI262224 OCY262224:ODE262224 OMU262224:ONA262224 OWQ262224:OWW262224 PGM262224:PGS262224 PQI262224:PQO262224 QAE262224:QAK262224 QKA262224:QKG262224 QTW262224:QUC262224 RDS262224:RDY262224 RNO262224:RNU262224 RXK262224:RXQ262224 SHG262224:SHM262224 SRC262224:SRI262224 TAY262224:TBE262224 TKU262224:TLA262224 TUQ262224:TUW262224 UEM262224:UES262224 UOI262224:UOO262224 UYE262224:UYK262224 VIA262224:VIG262224 VRW262224:VSC262224 WBS262224:WBY262224 WLO262224:WLU262224 WVK262224:WVQ262224 C327759:I327759 IY327760:JE327760 SU327760:TA327760 ACQ327760:ACW327760 AMM327760:AMS327760 AWI327760:AWO327760 BGE327760:BGK327760 BQA327760:BQG327760 BZW327760:CAC327760 CJS327760:CJY327760 CTO327760:CTU327760 DDK327760:DDQ327760 DNG327760:DNM327760 DXC327760:DXI327760 EGY327760:EHE327760 EQU327760:ERA327760 FAQ327760:FAW327760 FKM327760:FKS327760 FUI327760:FUO327760 GEE327760:GEK327760 GOA327760:GOG327760 GXW327760:GYC327760 HHS327760:HHY327760 HRO327760:HRU327760 IBK327760:IBQ327760 ILG327760:ILM327760 IVC327760:IVI327760 JEY327760:JFE327760 JOU327760:JPA327760 JYQ327760:JYW327760 KIM327760:KIS327760 KSI327760:KSO327760 LCE327760:LCK327760 LMA327760:LMG327760 LVW327760:LWC327760 MFS327760:MFY327760 MPO327760:MPU327760 MZK327760:MZQ327760 NJG327760:NJM327760 NTC327760:NTI327760 OCY327760:ODE327760 OMU327760:ONA327760 OWQ327760:OWW327760 PGM327760:PGS327760 PQI327760:PQO327760 QAE327760:QAK327760 QKA327760:QKG327760 QTW327760:QUC327760 RDS327760:RDY327760 RNO327760:RNU327760 RXK327760:RXQ327760 SHG327760:SHM327760 SRC327760:SRI327760 TAY327760:TBE327760 TKU327760:TLA327760 TUQ327760:TUW327760 UEM327760:UES327760 UOI327760:UOO327760 UYE327760:UYK327760 VIA327760:VIG327760 VRW327760:VSC327760 WBS327760:WBY327760 WLO327760:WLU327760 WVK327760:WVQ327760 C393295:I393295 IY393296:JE393296 SU393296:TA393296 ACQ393296:ACW393296 AMM393296:AMS393296 AWI393296:AWO393296 BGE393296:BGK393296 BQA393296:BQG393296 BZW393296:CAC393296 CJS393296:CJY393296 CTO393296:CTU393296 DDK393296:DDQ393296 DNG393296:DNM393296 DXC393296:DXI393296 EGY393296:EHE393296 EQU393296:ERA393296 FAQ393296:FAW393296 FKM393296:FKS393296 FUI393296:FUO393296 GEE393296:GEK393296 GOA393296:GOG393296 GXW393296:GYC393296 HHS393296:HHY393296 HRO393296:HRU393296 IBK393296:IBQ393296 ILG393296:ILM393296 IVC393296:IVI393296 JEY393296:JFE393296 JOU393296:JPA393296 JYQ393296:JYW393296 KIM393296:KIS393296 KSI393296:KSO393296 LCE393296:LCK393296 LMA393296:LMG393296 LVW393296:LWC393296 MFS393296:MFY393296 MPO393296:MPU393296 MZK393296:MZQ393296 NJG393296:NJM393296 NTC393296:NTI393296 OCY393296:ODE393296 OMU393296:ONA393296 OWQ393296:OWW393296 PGM393296:PGS393296 PQI393296:PQO393296 QAE393296:QAK393296 QKA393296:QKG393296 QTW393296:QUC393296 RDS393296:RDY393296 RNO393296:RNU393296 RXK393296:RXQ393296 SHG393296:SHM393296 SRC393296:SRI393296 TAY393296:TBE393296 TKU393296:TLA393296 TUQ393296:TUW393296 UEM393296:UES393296 UOI393296:UOO393296 UYE393296:UYK393296 VIA393296:VIG393296 VRW393296:VSC393296 WBS393296:WBY393296 WLO393296:WLU393296 WVK393296:WVQ393296 C458831:I458831 IY458832:JE458832 SU458832:TA458832 ACQ458832:ACW458832 AMM458832:AMS458832 AWI458832:AWO458832 BGE458832:BGK458832 BQA458832:BQG458832 BZW458832:CAC458832 CJS458832:CJY458832 CTO458832:CTU458832 DDK458832:DDQ458832 DNG458832:DNM458832 DXC458832:DXI458832 EGY458832:EHE458832 EQU458832:ERA458832 FAQ458832:FAW458832 FKM458832:FKS458832 FUI458832:FUO458832 GEE458832:GEK458832 GOA458832:GOG458832 GXW458832:GYC458832 HHS458832:HHY458832 HRO458832:HRU458832 IBK458832:IBQ458832 ILG458832:ILM458832 IVC458832:IVI458832 JEY458832:JFE458832 JOU458832:JPA458832 JYQ458832:JYW458832 KIM458832:KIS458832 KSI458832:KSO458832 LCE458832:LCK458832 LMA458832:LMG458832 LVW458832:LWC458832 MFS458832:MFY458832 MPO458832:MPU458832 MZK458832:MZQ458832 NJG458832:NJM458832 NTC458832:NTI458832 OCY458832:ODE458832 OMU458832:ONA458832 OWQ458832:OWW458832 PGM458832:PGS458832 PQI458832:PQO458832 QAE458832:QAK458832 QKA458832:QKG458832 QTW458832:QUC458832 RDS458832:RDY458832 RNO458832:RNU458832 RXK458832:RXQ458832 SHG458832:SHM458832 SRC458832:SRI458832 TAY458832:TBE458832 TKU458832:TLA458832 TUQ458832:TUW458832 UEM458832:UES458832 UOI458832:UOO458832 UYE458832:UYK458832 VIA458832:VIG458832 VRW458832:VSC458832 WBS458832:WBY458832 WLO458832:WLU458832 WVK458832:WVQ458832 C524367:I524367 IY524368:JE524368 SU524368:TA524368 ACQ524368:ACW524368 AMM524368:AMS524368 AWI524368:AWO524368 BGE524368:BGK524368 BQA524368:BQG524368 BZW524368:CAC524368 CJS524368:CJY524368 CTO524368:CTU524368 DDK524368:DDQ524368 DNG524368:DNM524368 DXC524368:DXI524368 EGY524368:EHE524368 EQU524368:ERA524368 FAQ524368:FAW524368 FKM524368:FKS524368 FUI524368:FUO524368 GEE524368:GEK524368 GOA524368:GOG524368 GXW524368:GYC524368 HHS524368:HHY524368 HRO524368:HRU524368 IBK524368:IBQ524368 ILG524368:ILM524368 IVC524368:IVI524368 JEY524368:JFE524368 JOU524368:JPA524368 JYQ524368:JYW524368 KIM524368:KIS524368 KSI524368:KSO524368 LCE524368:LCK524368 LMA524368:LMG524368 LVW524368:LWC524368 MFS524368:MFY524368 MPO524368:MPU524368 MZK524368:MZQ524368 NJG524368:NJM524368 NTC524368:NTI524368 OCY524368:ODE524368 OMU524368:ONA524368 OWQ524368:OWW524368 PGM524368:PGS524368 PQI524368:PQO524368 QAE524368:QAK524368 QKA524368:QKG524368 QTW524368:QUC524368 RDS524368:RDY524368 RNO524368:RNU524368 RXK524368:RXQ524368 SHG524368:SHM524368 SRC524368:SRI524368 TAY524368:TBE524368 TKU524368:TLA524368 TUQ524368:TUW524368 UEM524368:UES524368 UOI524368:UOO524368 UYE524368:UYK524368 VIA524368:VIG524368 VRW524368:VSC524368 WBS524368:WBY524368 WLO524368:WLU524368 WVK524368:WVQ524368 C589903:I589903 IY589904:JE589904 SU589904:TA589904 ACQ589904:ACW589904 AMM589904:AMS589904 AWI589904:AWO589904 BGE589904:BGK589904 BQA589904:BQG589904 BZW589904:CAC589904 CJS589904:CJY589904 CTO589904:CTU589904 DDK589904:DDQ589904 DNG589904:DNM589904 DXC589904:DXI589904 EGY589904:EHE589904 EQU589904:ERA589904 FAQ589904:FAW589904 FKM589904:FKS589904 FUI589904:FUO589904 GEE589904:GEK589904 GOA589904:GOG589904 GXW589904:GYC589904 HHS589904:HHY589904 HRO589904:HRU589904 IBK589904:IBQ589904 ILG589904:ILM589904 IVC589904:IVI589904 JEY589904:JFE589904 JOU589904:JPA589904 JYQ589904:JYW589904 KIM589904:KIS589904 KSI589904:KSO589904 LCE589904:LCK589904 LMA589904:LMG589904 LVW589904:LWC589904 MFS589904:MFY589904 MPO589904:MPU589904 MZK589904:MZQ589904 NJG589904:NJM589904 NTC589904:NTI589904 OCY589904:ODE589904 OMU589904:ONA589904 OWQ589904:OWW589904 PGM589904:PGS589904 PQI589904:PQO589904 QAE589904:QAK589904 QKA589904:QKG589904 QTW589904:QUC589904 RDS589904:RDY589904 RNO589904:RNU589904 RXK589904:RXQ589904 SHG589904:SHM589904 SRC589904:SRI589904 TAY589904:TBE589904 TKU589904:TLA589904 TUQ589904:TUW589904 UEM589904:UES589904 UOI589904:UOO589904 UYE589904:UYK589904 VIA589904:VIG589904 VRW589904:VSC589904 WBS589904:WBY589904 WLO589904:WLU589904 WVK589904:WVQ589904 C655439:I655439 IY655440:JE655440 SU655440:TA655440 ACQ655440:ACW655440 AMM655440:AMS655440 AWI655440:AWO655440 BGE655440:BGK655440 BQA655440:BQG655440 BZW655440:CAC655440 CJS655440:CJY655440 CTO655440:CTU655440 DDK655440:DDQ655440 DNG655440:DNM655440 DXC655440:DXI655440 EGY655440:EHE655440 EQU655440:ERA655440 FAQ655440:FAW655440 FKM655440:FKS655440 FUI655440:FUO655440 GEE655440:GEK655440 GOA655440:GOG655440 GXW655440:GYC655440 HHS655440:HHY655440 HRO655440:HRU655440 IBK655440:IBQ655440 ILG655440:ILM655440 IVC655440:IVI655440 JEY655440:JFE655440 JOU655440:JPA655440 JYQ655440:JYW655440 KIM655440:KIS655440 KSI655440:KSO655440 LCE655440:LCK655440 LMA655440:LMG655440 LVW655440:LWC655440 MFS655440:MFY655440 MPO655440:MPU655440 MZK655440:MZQ655440 NJG655440:NJM655440 NTC655440:NTI655440 OCY655440:ODE655440 OMU655440:ONA655440 OWQ655440:OWW655440 PGM655440:PGS655440 PQI655440:PQO655440 QAE655440:QAK655440 QKA655440:QKG655440 QTW655440:QUC655440 RDS655440:RDY655440 RNO655440:RNU655440 RXK655440:RXQ655440 SHG655440:SHM655440 SRC655440:SRI655440 TAY655440:TBE655440 TKU655440:TLA655440 TUQ655440:TUW655440 UEM655440:UES655440 UOI655440:UOO655440 UYE655440:UYK655440 VIA655440:VIG655440 VRW655440:VSC655440 WBS655440:WBY655440 WLO655440:WLU655440 WVK655440:WVQ655440 C720975:I720975 IY720976:JE720976 SU720976:TA720976 ACQ720976:ACW720976 AMM720976:AMS720976 AWI720976:AWO720976 BGE720976:BGK720976 BQA720976:BQG720976 BZW720976:CAC720976 CJS720976:CJY720976 CTO720976:CTU720976 DDK720976:DDQ720976 DNG720976:DNM720976 DXC720976:DXI720976 EGY720976:EHE720976 EQU720976:ERA720976 FAQ720976:FAW720976 FKM720976:FKS720976 FUI720976:FUO720976 GEE720976:GEK720976 GOA720976:GOG720976 GXW720976:GYC720976 HHS720976:HHY720976 HRO720976:HRU720976 IBK720976:IBQ720976 ILG720976:ILM720976 IVC720976:IVI720976 JEY720976:JFE720976 JOU720976:JPA720976 JYQ720976:JYW720976 KIM720976:KIS720976 KSI720976:KSO720976 LCE720976:LCK720976 LMA720976:LMG720976 LVW720976:LWC720976 MFS720976:MFY720976 MPO720976:MPU720976 MZK720976:MZQ720976 NJG720976:NJM720976 NTC720976:NTI720976 OCY720976:ODE720976 OMU720976:ONA720976 OWQ720976:OWW720976 PGM720976:PGS720976 PQI720976:PQO720976 QAE720976:QAK720976 QKA720976:QKG720976 QTW720976:QUC720976 RDS720976:RDY720976 RNO720976:RNU720976 RXK720976:RXQ720976 SHG720976:SHM720976 SRC720976:SRI720976 TAY720976:TBE720976 TKU720976:TLA720976 TUQ720976:TUW720976 UEM720976:UES720976 UOI720976:UOO720976 UYE720976:UYK720976 VIA720976:VIG720976 VRW720976:VSC720976 WBS720976:WBY720976 WLO720976:WLU720976 WVK720976:WVQ720976 C786511:I786511 IY786512:JE786512 SU786512:TA786512 ACQ786512:ACW786512 AMM786512:AMS786512 AWI786512:AWO786512 BGE786512:BGK786512 BQA786512:BQG786512 BZW786512:CAC786512 CJS786512:CJY786512 CTO786512:CTU786512 DDK786512:DDQ786512 DNG786512:DNM786512 DXC786512:DXI786512 EGY786512:EHE786512 EQU786512:ERA786512 FAQ786512:FAW786512 FKM786512:FKS786512 FUI786512:FUO786512 GEE786512:GEK786512 GOA786512:GOG786512 GXW786512:GYC786512 HHS786512:HHY786512 HRO786512:HRU786512 IBK786512:IBQ786512 ILG786512:ILM786512 IVC786512:IVI786512 JEY786512:JFE786512 JOU786512:JPA786512 JYQ786512:JYW786512 KIM786512:KIS786512 KSI786512:KSO786512 LCE786512:LCK786512 LMA786512:LMG786512 LVW786512:LWC786512 MFS786512:MFY786512 MPO786512:MPU786512 MZK786512:MZQ786512 NJG786512:NJM786512 NTC786512:NTI786512 OCY786512:ODE786512 OMU786512:ONA786512 OWQ786512:OWW786512 PGM786512:PGS786512 PQI786512:PQO786512 QAE786512:QAK786512 QKA786512:QKG786512 QTW786512:QUC786512 RDS786512:RDY786512 RNO786512:RNU786512 RXK786512:RXQ786512 SHG786512:SHM786512 SRC786512:SRI786512 TAY786512:TBE786512 TKU786512:TLA786512 TUQ786512:TUW786512 UEM786512:UES786512 UOI786512:UOO786512 UYE786512:UYK786512 VIA786512:VIG786512 VRW786512:VSC786512 WBS786512:WBY786512 WLO786512:WLU786512 WVK786512:WVQ786512 C852047:I852047 IY852048:JE852048 SU852048:TA852048 ACQ852048:ACW852048 AMM852048:AMS852048 AWI852048:AWO852048 BGE852048:BGK852048 BQA852048:BQG852048 BZW852048:CAC852048 CJS852048:CJY852048 CTO852048:CTU852048 DDK852048:DDQ852048 DNG852048:DNM852048 DXC852048:DXI852048 EGY852048:EHE852048 EQU852048:ERA852048 FAQ852048:FAW852048 FKM852048:FKS852048 FUI852048:FUO852048 GEE852048:GEK852048 GOA852048:GOG852048 GXW852048:GYC852048 HHS852048:HHY852048 HRO852048:HRU852048 IBK852048:IBQ852048 ILG852048:ILM852048 IVC852048:IVI852048 JEY852048:JFE852048 JOU852048:JPA852048 JYQ852048:JYW852048 KIM852048:KIS852048 KSI852048:KSO852048 LCE852048:LCK852048 LMA852048:LMG852048 LVW852048:LWC852048 MFS852048:MFY852048 MPO852048:MPU852048 MZK852048:MZQ852048 NJG852048:NJM852048 NTC852048:NTI852048 OCY852048:ODE852048 OMU852048:ONA852048 OWQ852048:OWW852048 PGM852048:PGS852048 PQI852048:PQO852048 QAE852048:QAK852048 QKA852048:QKG852048 QTW852048:QUC852048 RDS852048:RDY852048 RNO852048:RNU852048 RXK852048:RXQ852048 SHG852048:SHM852048 SRC852048:SRI852048 TAY852048:TBE852048 TKU852048:TLA852048 TUQ852048:TUW852048 UEM852048:UES852048 UOI852048:UOO852048 UYE852048:UYK852048 VIA852048:VIG852048 VRW852048:VSC852048 WBS852048:WBY852048 WLO852048:WLU852048 WVK852048:WVQ852048 C917583:I917583 IY917584:JE917584 SU917584:TA917584 ACQ917584:ACW917584 AMM917584:AMS917584 AWI917584:AWO917584 BGE917584:BGK917584 BQA917584:BQG917584 BZW917584:CAC917584 CJS917584:CJY917584 CTO917584:CTU917584 DDK917584:DDQ917584 DNG917584:DNM917584 DXC917584:DXI917584 EGY917584:EHE917584 EQU917584:ERA917584 FAQ917584:FAW917584 FKM917584:FKS917584 FUI917584:FUO917584 GEE917584:GEK917584 GOA917584:GOG917584 GXW917584:GYC917584 HHS917584:HHY917584 HRO917584:HRU917584 IBK917584:IBQ917584 ILG917584:ILM917584 IVC917584:IVI917584 JEY917584:JFE917584 JOU917584:JPA917584 JYQ917584:JYW917584 KIM917584:KIS917584 KSI917584:KSO917584 LCE917584:LCK917584 LMA917584:LMG917584 LVW917584:LWC917584 MFS917584:MFY917584 MPO917584:MPU917584 MZK917584:MZQ917584 NJG917584:NJM917584 NTC917584:NTI917584 OCY917584:ODE917584 OMU917584:ONA917584 OWQ917584:OWW917584 PGM917584:PGS917584 PQI917584:PQO917584 QAE917584:QAK917584 QKA917584:QKG917584 QTW917584:QUC917584 RDS917584:RDY917584 RNO917584:RNU917584 RXK917584:RXQ917584 SHG917584:SHM917584 SRC917584:SRI917584 TAY917584:TBE917584 TKU917584:TLA917584 TUQ917584:TUW917584 UEM917584:UES917584 UOI917584:UOO917584 UYE917584:UYK917584 VIA917584:VIG917584 VRW917584:VSC917584 WBS917584:WBY917584 WLO917584:WLU917584 WVK917584:WVQ917584 C983119:I983119 IY983120:JE983120 SU983120:TA983120 ACQ983120:ACW983120 AMM983120:AMS983120 AWI983120:AWO983120 BGE983120:BGK983120 BQA983120:BQG983120 BZW983120:CAC983120 CJS983120:CJY983120 CTO983120:CTU983120 DDK983120:DDQ983120 DNG983120:DNM983120 DXC983120:DXI983120 EGY983120:EHE983120 EQU983120:ERA983120 FAQ983120:FAW983120 FKM983120:FKS983120 FUI983120:FUO983120 GEE983120:GEK983120 GOA983120:GOG983120 GXW983120:GYC983120 HHS983120:HHY983120 HRO983120:HRU983120 IBK983120:IBQ983120 ILG983120:ILM983120 IVC983120:IVI983120 JEY983120:JFE983120 JOU983120:JPA983120 JYQ983120:JYW983120 KIM983120:KIS983120 KSI983120:KSO983120 LCE983120:LCK983120 LMA983120:LMG983120 LVW983120:LWC983120 MFS983120:MFY983120 MPO983120:MPU983120 MZK983120:MZQ983120 NJG983120:NJM983120 NTC983120:NTI983120 OCY983120:ODE983120 OMU983120:ONA983120 OWQ983120:OWW983120 PGM983120:PGS983120 PQI983120:PQO983120 QAE983120:QAK983120 QKA983120:QKG983120 QTW983120:QUC983120 RDS983120:RDY983120 RNO983120:RNU983120 RXK983120:RXQ983120 SHG983120:SHM983120 SRC983120:SRI983120 TAY983120:TBE983120 TKU983120:TLA983120 TUQ983120:TUW983120 UEM983120:UES983120 UOI983120:UOO983120 UYE983120:UYK983120 VIA983120:VIG983120 VRW983120:VSC983120 WBS983120:WBY983120 WLO983120:WLU983120 WVK983120:WVQ983120 WLV983082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J65577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3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49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5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1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7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3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29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5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1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7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3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09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5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1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formula1>Visits</formula1>
    </dataValidation>
    <dataValidation type="list" allowBlank="1" showInputMessage="1" showErrorMessage="1" sqref="B120">
      <formula1>$B$72:$B$149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'Unit costs'!$B$178:$B$206</xm:f>
          </x14:formula1>
          <xm:sqref>B55:B69</xm:sqref>
        </x14:dataValidation>
        <x14:dataValidation type="list" allowBlank="1" showInputMessage="1" showErrorMessage="1">
          <x14:formula1>
            <xm:f>'Unit costs'!$B$25:$B$66</xm:f>
          </x14:formula1>
          <xm:sqref>B17:B31</xm:sqref>
        </x14:dataValidation>
        <x14:dataValidation type="list" allowBlank="1" showInputMessage="1" showErrorMessage="1">
          <x14:formula1>
            <xm:f>'Drop Down Master List'!$G$3:$G$87</xm:f>
          </x14:formula1>
          <xm:sqref>B115:B119</xm:sqref>
        </x14:dataValidation>
        <x14:dataValidation type="list" showInputMessage="1">
          <x14:formula1>
            <xm:f>'Drop Down Master List'!$G$3:$G$87</xm:f>
          </x14:formula1>
          <xm:sqref>B93:B114</xm:sqref>
        </x14:dataValidation>
        <x14:dataValidation type="list" allowBlank="1" showInputMessage="1" showErrorMessage="1">
          <x14:formula1>
            <xm:f>'Unit costs'!$B$86:$B$173</xm:f>
          </x14:formula1>
          <xm:sqref>B149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180"/>
  <sheetViews>
    <sheetView showGridLines="0" workbookViewId="0">
      <selection activeCell="E3" sqref="E3"/>
    </sheetView>
  </sheetViews>
  <sheetFormatPr defaultRowHeight="15" x14ac:dyDescent="0.25"/>
  <cols>
    <col min="1" max="1" width="4.7109375" style="113" customWidth="1"/>
    <col min="2" max="2" width="48.42578125" style="120" customWidth="1"/>
    <col min="3" max="13" width="15.7109375" style="120" customWidth="1"/>
    <col min="14" max="15" width="10.28515625" style="120" customWidth="1"/>
    <col min="16" max="16" width="9.42578125" style="120" customWidth="1"/>
    <col min="17" max="256" width="8.8554687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8.8554687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8.8554687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8.8554687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8.8554687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8.8554687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8.8554687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8.8554687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8.8554687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8.8554687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8.8554687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8.8554687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8.8554687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8.8554687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8.8554687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8.8554687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8.8554687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8.8554687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8.8554687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8.8554687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8.8554687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8.8554687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8.8554687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8.8554687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8.8554687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8.8554687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8.8554687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8.8554687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8.8554687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8.8554687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8.8554687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8.8554687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8.8554687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8.8554687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8.8554687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8.8554687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8.8554687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8.8554687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8.8554687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8.8554687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8.8554687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8.8554687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8.8554687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8.8554687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8.8554687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8.8554687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8.8554687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8.8554687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8.8554687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8.8554687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8.8554687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8.8554687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8.8554687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8.8554687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8.8554687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8.8554687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8.8554687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8.8554687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8.8554687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8.8554687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8.8554687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8.8554687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8.8554687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8.8554687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x14ac:dyDescent="0.25">
      <c r="A5" s="119"/>
      <c r="B5" s="110"/>
      <c r="C5" s="211"/>
      <c r="D5" s="211"/>
      <c r="E5" s="212"/>
      <c r="F5" s="111"/>
      <c r="G5" s="111"/>
      <c r="H5" s="111"/>
      <c r="I5" s="111"/>
      <c r="J5" s="119"/>
      <c r="K5" s="119"/>
      <c r="L5" s="119"/>
      <c r="M5" s="119"/>
      <c r="N5" s="119"/>
      <c r="O5" s="119"/>
      <c r="P5" s="119"/>
    </row>
    <row r="6" spans="1:49" s="112" customFormat="1" ht="22.9" customHeight="1" x14ac:dyDescent="0.25">
      <c r="B6" s="473" t="s">
        <v>323</v>
      </c>
      <c r="C6" s="474"/>
      <c r="D6" s="474"/>
      <c r="E6" s="474"/>
      <c r="F6" s="474"/>
      <c r="G6" s="474"/>
      <c r="H6" s="474"/>
      <c r="I6" s="119"/>
      <c r="J6" s="119"/>
      <c r="K6" s="119"/>
      <c r="L6" s="119"/>
      <c r="M6" s="119"/>
      <c r="N6" s="119"/>
      <c r="O6" s="119"/>
    </row>
    <row r="7" spans="1:49" s="112" customFormat="1" ht="18.600000000000001" customHeight="1" x14ac:dyDescent="0.25">
      <c r="B7" s="213" t="s">
        <v>222</v>
      </c>
      <c r="C7" s="214" t="s">
        <v>70</v>
      </c>
      <c r="D7" s="215" t="s">
        <v>223</v>
      </c>
      <c r="E7" s="216" t="s">
        <v>224</v>
      </c>
      <c r="F7" s="217" t="s">
        <v>439</v>
      </c>
      <c r="G7" s="217" t="s">
        <v>225</v>
      </c>
      <c r="H7" s="218" t="s">
        <v>321</v>
      </c>
      <c r="I7" s="109"/>
      <c r="J7" s="119"/>
      <c r="K7" s="119"/>
      <c r="L7" s="119"/>
      <c r="M7" s="119"/>
      <c r="N7" s="119"/>
      <c r="O7" s="119"/>
      <c r="P7" s="119"/>
    </row>
    <row r="8" spans="1:49" s="112" customFormat="1" x14ac:dyDescent="0.25">
      <c r="B8" s="219" t="str">
        <f>'Set up'!B18</f>
        <v>Abbott M2000 RealTime</v>
      </c>
      <c r="C8" s="334">
        <f>IFERROR(SUM(C$34:C$48),"")</f>
        <v>1.7898864411430997</v>
      </c>
      <c r="D8" s="334">
        <f>IFERROR(SUM(C73:C86),"")</f>
        <v>6.8440860215053759E-2</v>
      </c>
      <c r="E8" s="334">
        <f>IFERROR(SUM(C$142:C$161),"")</f>
        <v>0.72645679027482413</v>
      </c>
      <c r="F8" s="354">
        <f>IFERROR(SUM(H$93:H$97),"")</f>
        <v>16.145833333333332</v>
      </c>
      <c r="G8" s="355">
        <f>IFERROR(SUM(C$167:C$176),"0")</f>
        <v>0</v>
      </c>
      <c r="H8" s="336">
        <f>SUM(C8:G8)</f>
        <v>18.730617424966312</v>
      </c>
      <c r="I8" s="109"/>
      <c r="J8" s="119"/>
      <c r="K8" s="119"/>
      <c r="L8" s="119"/>
      <c r="M8" s="119"/>
      <c r="N8" s="119"/>
      <c r="O8" s="119"/>
      <c r="P8" s="119"/>
    </row>
    <row r="9" spans="1:49" s="112" customFormat="1" x14ac:dyDescent="0.25">
      <c r="B9" s="219" t="str">
        <f>'Set up'!B19</f>
        <v>Abbott M2000 RealTime</v>
      </c>
      <c r="C9" s="334">
        <f>IFERROR(SUM(D$34:D$48),"")</f>
        <v>1.7898864411430997</v>
      </c>
      <c r="D9" s="334">
        <f>IFERROR(SUM(D$73:D$86),"")</f>
        <v>6.8440860215053759E-2</v>
      </c>
      <c r="E9" s="334">
        <f>IFERROR(SUM(D$142:D$161),"")</f>
        <v>0.72645679027482413</v>
      </c>
      <c r="F9" s="354">
        <f>IFERROR(SUM(H$99:H$103),"")</f>
        <v>16.145833333333332</v>
      </c>
      <c r="G9" s="355">
        <f>IFERROR(SUM(D$167:D$176),"0")</f>
        <v>0</v>
      </c>
      <c r="H9" s="336">
        <f t="shared" ref="H9:H11" si="0">SUM(C9:G9)</f>
        <v>18.730617424966312</v>
      </c>
      <c r="I9" s="109"/>
      <c r="J9" s="119"/>
      <c r="K9" s="119"/>
      <c r="L9" s="119"/>
      <c r="M9" s="119"/>
      <c r="N9" s="119"/>
      <c r="O9" s="119"/>
      <c r="P9" s="119"/>
    </row>
    <row r="10" spans="1:49" s="112" customFormat="1" x14ac:dyDescent="0.25">
      <c r="B10" s="219" t="str">
        <f>'Set up'!B20</f>
        <v>Roche COBAS Ampliprep/TaqMan 48</v>
      </c>
      <c r="C10" s="334">
        <f>IFERROR(SUM(E$34:E$48),"")</f>
        <v>1.7898864411430997</v>
      </c>
      <c r="D10" s="334">
        <f>IFERROR(SUM(E$73:E$86),"")</f>
        <v>7.5773809523809535E-2</v>
      </c>
      <c r="E10" s="334">
        <f>IFERROR(SUM(E$142:E$161),"")</f>
        <v>0.72645679027482413</v>
      </c>
      <c r="F10" s="354">
        <f>IFERROR(SUM(H$105:H$109),"")</f>
        <v>19.895833333333336</v>
      </c>
      <c r="G10" s="355">
        <f>IFERROR(SUM(E$167:E$176),"0")</f>
        <v>0</v>
      </c>
      <c r="H10" s="336">
        <f t="shared" si="0"/>
        <v>22.487950374275069</v>
      </c>
      <c r="I10" s="111"/>
      <c r="J10" s="119"/>
      <c r="K10" s="119"/>
      <c r="L10" s="119"/>
      <c r="M10" s="119"/>
      <c r="N10" s="119"/>
      <c r="O10" s="119"/>
      <c r="P10" s="119"/>
    </row>
    <row r="11" spans="1:49" s="112" customFormat="1" x14ac:dyDescent="0.25">
      <c r="B11" s="219" t="str">
        <f>'Set up'!B21</f>
        <v>Roche COBAS Ampliprep/TaqMan 48</v>
      </c>
      <c r="C11" s="334">
        <f>IFERROR(SUM(F$34:F$48),"")</f>
        <v>1.7898864411430997</v>
      </c>
      <c r="D11" s="334">
        <f>IFERROR(SUM(F$73:F$86),"")</f>
        <v>7.5773809523809535E-2</v>
      </c>
      <c r="E11" s="334">
        <f>IFERROR(SUM(F$142:F$161),"")</f>
        <v>0.72645679027482413</v>
      </c>
      <c r="F11" s="354">
        <f>IFERROR(SUM(H$111:H$115),"")</f>
        <v>19.895833333333336</v>
      </c>
      <c r="G11" s="355">
        <f>IFERROR(SUM(F$167:F$176),"0")</f>
        <v>0</v>
      </c>
      <c r="H11" s="336">
        <f t="shared" si="0"/>
        <v>22.487950374275069</v>
      </c>
      <c r="I11" s="111"/>
      <c r="J11" s="119"/>
      <c r="K11" s="119"/>
      <c r="L11" s="119"/>
      <c r="M11" s="119"/>
      <c r="N11" s="119"/>
      <c r="O11" s="119"/>
      <c r="P11" s="119"/>
    </row>
    <row r="12" spans="1:49" s="112" customFormat="1" x14ac:dyDescent="0.25">
      <c r="B12" s="211"/>
      <c r="C12" s="211"/>
      <c r="D12" s="211"/>
      <c r="E12" s="220"/>
      <c r="F12" s="111"/>
      <c r="G12" s="111"/>
      <c r="H12" s="111"/>
      <c r="I12" s="111"/>
      <c r="J12" s="119"/>
      <c r="K12" s="119"/>
      <c r="L12" s="119"/>
      <c r="M12" s="119"/>
      <c r="N12" s="119"/>
      <c r="O12" s="119"/>
      <c r="P12" s="119"/>
    </row>
    <row r="13" spans="1:49" s="112" customFormat="1" ht="20.45" customHeight="1" x14ac:dyDescent="0.25">
      <c r="B13" s="445" t="s">
        <v>72</v>
      </c>
      <c r="C13" s="445"/>
      <c r="D13" s="445"/>
      <c r="E13" s="445"/>
      <c r="F13" s="445"/>
      <c r="G13" s="415"/>
      <c r="H13" s="415"/>
      <c r="I13" s="415"/>
      <c r="J13" s="415"/>
      <c r="K13" s="415"/>
      <c r="L13" s="415"/>
      <c r="M13" s="207"/>
      <c r="N13" s="207"/>
      <c r="O13" s="207"/>
      <c r="P13" s="207"/>
    </row>
    <row r="14" spans="1:49" s="112" customFormat="1" x14ac:dyDescent="0.25">
      <c r="B14" s="211"/>
      <c r="C14" s="211"/>
      <c r="D14" s="211"/>
      <c r="E14" s="220"/>
      <c r="F14" s="111"/>
      <c r="G14" s="111"/>
      <c r="H14" s="111"/>
      <c r="I14" s="111"/>
      <c r="J14" s="119"/>
      <c r="K14" s="119"/>
      <c r="L14" s="119"/>
      <c r="M14" s="119"/>
      <c r="N14" s="119"/>
      <c r="O14" s="119"/>
      <c r="P14" s="119"/>
    </row>
    <row r="15" spans="1:49" s="112" customFormat="1" x14ac:dyDescent="0.25">
      <c r="B15" s="472" t="s">
        <v>226</v>
      </c>
      <c r="C15" s="472"/>
      <c r="D15" s="472"/>
      <c r="E15" s="472"/>
      <c r="F15" s="472"/>
      <c r="G15" s="472"/>
      <c r="H15" s="472"/>
      <c r="I15" s="472"/>
      <c r="J15" s="472"/>
      <c r="K15" s="472"/>
      <c r="L15" s="472"/>
      <c r="M15" s="249"/>
      <c r="N15" s="249"/>
    </row>
    <row r="16" spans="1:49" s="228" customFormat="1" ht="45.6" customHeight="1" x14ac:dyDescent="0.25">
      <c r="A16" s="224"/>
      <c r="B16" s="225" t="s">
        <v>319</v>
      </c>
      <c r="C16" s="245" t="str">
        <f>'Set up'!B18</f>
        <v>Abbott M2000 RealTime</v>
      </c>
      <c r="D16" s="245" t="str">
        <f>'Set up'!B19</f>
        <v>Abbott M2000 RealTime</v>
      </c>
      <c r="E16" s="245" t="str">
        <f>'Set up'!B20</f>
        <v>Roche COBAS Ampliprep/TaqMan 48</v>
      </c>
      <c r="F16" s="245" t="str">
        <f>'Set up'!B21</f>
        <v>Roche COBAS Ampliprep/TaqMan 48</v>
      </c>
      <c r="G16" s="227"/>
      <c r="H16" s="227"/>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row>
    <row r="17" spans="2:40" x14ac:dyDescent="0.25">
      <c r="B17" s="62" t="s">
        <v>13</v>
      </c>
      <c r="C17" s="11"/>
      <c r="D17" s="11"/>
      <c r="E17" s="11"/>
      <c r="F17" s="11"/>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row>
    <row r="18" spans="2:40" x14ac:dyDescent="0.25">
      <c r="B18" s="62" t="s">
        <v>15</v>
      </c>
      <c r="C18" s="11"/>
      <c r="D18" s="11"/>
      <c r="E18" s="11"/>
      <c r="F18" s="11"/>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row>
    <row r="19" spans="2:40" x14ac:dyDescent="0.25">
      <c r="B19" s="62" t="s">
        <v>16</v>
      </c>
      <c r="C19" s="11"/>
      <c r="D19" s="11"/>
      <c r="E19" s="11"/>
      <c r="F19" s="11"/>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row>
    <row r="20" spans="2:40" x14ac:dyDescent="0.25">
      <c r="B20" s="62" t="s">
        <v>17</v>
      </c>
      <c r="C20" s="11"/>
      <c r="D20" s="11"/>
      <c r="E20" s="11"/>
      <c r="F20" s="11"/>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row>
    <row r="21" spans="2:40" x14ac:dyDescent="0.25">
      <c r="B21" s="62" t="s">
        <v>23</v>
      </c>
      <c r="C21" s="11">
        <v>7</v>
      </c>
      <c r="D21" s="11">
        <v>7</v>
      </c>
      <c r="E21" s="11">
        <v>7</v>
      </c>
      <c r="F21" s="11">
        <v>7</v>
      </c>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row>
    <row r="22" spans="2:40" x14ac:dyDescent="0.25">
      <c r="B22" s="62" t="s">
        <v>20</v>
      </c>
      <c r="C22" s="11">
        <v>3</v>
      </c>
      <c r="D22" s="11">
        <v>3</v>
      </c>
      <c r="E22" s="11">
        <v>3</v>
      </c>
      <c r="F22" s="11">
        <v>3</v>
      </c>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row>
    <row r="23" spans="2:40" x14ac:dyDescent="0.25">
      <c r="B23" s="62" t="s">
        <v>25</v>
      </c>
      <c r="C23" s="11">
        <v>1</v>
      </c>
      <c r="D23" s="11">
        <v>1</v>
      </c>
      <c r="E23" s="11">
        <v>1</v>
      </c>
      <c r="F23" s="11">
        <v>1</v>
      </c>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row>
    <row r="24" spans="2:40" x14ac:dyDescent="0.25">
      <c r="B24" s="62" t="s">
        <v>100</v>
      </c>
      <c r="C24" s="11"/>
      <c r="D24" s="11"/>
      <c r="E24" s="11"/>
      <c r="F24" s="11"/>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row>
    <row r="25" spans="2:40" x14ac:dyDescent="0.25">
      <c r="B25" s="62" t="s">
        <v>100</v>
      </c>
      <c r="C25" s="11"/>
      <c r="D25" s="11"/>
      <c r="E25" s="11"/>
      <c r="F25" s="11"/>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row>
    <row r="26" spans="2:40" x14ac:dyDescent="0.25">
      <c r="B26" s="62" t="s">
        <v>100</v>
      </c>
      <c r="C26" s="11"/>
      <c r="D26" s="11"/>
      <c r="E26" s="11"/>
      <c r="F26" s="11"/>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row>
    <row r="27" spans="2:40" x14ac:dyDescent="0.25">
      <c r="B27" s="62" t="s">
        <v>100</v>
      </c>
      <c r="C27" s="11"/>
      <c r="D27" s="11"/>
      <c r="E27" s="11"/>
      <c r="F27" s="11"/>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row>
    <row r="28" spans="2:40" x14ac:dyDescent="0.25">
      <c r="B28" s="62" t="s">
        <v>100</v>
      </c>
      <c r="C28" s="11"/>
      <c r="D28" s="11"/>
      <c r="E28" s="11"/>
      <c r="F28" s="11"/>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row>
    <row r="29" spans="2:40" x14ac:dyDescent="0.25">
      <c r="B29" s="62" t="s">
        <v>100</v>
      </c>
      <c r="C29" s="11"/>
      <c r="D29" s="11"/>
      <c r="E29" s="11"/>
      <c r="F29" s="11"/>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row>
    <row r="30" spans="2:40" x14ac:dyDescent="0.25">
      <c r="B30" s="62" t="s">
        <v>100</v>
      </c>
      <c r="C30" s="11"/>
      <c r="D30" s="11"/>
      <c r="E30" s="11"/>
      <c r="F30" s="11"/>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row>
    <row r="31" spans="2:40" x14ac:dyDescent="0.25">
      <c r="B31" s="62" t="s">
        <v>100</v>
      </c>
      <c r="C31" s="11"/>
      <c r="D31" s="11"/>
      <c r="E31" s="11"/>
      <c r="F31" s="11"/>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row>
    <row r="32" spans="2:40" x14ac:dyDescent="0.25">
      <c r="B32" s="55"/>
      <c r="C32" s="56"/>
      <c r="D32" s="56"/>
      <c r="E32" s="56"/>
      <c r="F32" s="56"/>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row>
    <row r="33" spans="2:40" x14ac:dyDescent="0.25">
      <c r="B33" s="221" t="s">
        <v>506</v>
      </c>
      <c r="C33" s="56"/>
      <c r="D33" s="56"/>
      <c r="E33" s="56"/>
      <c r="F33" s="56"/>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row>
    <row r="34" spans="2:40" x14ac:dyDescent="0.25">
      <c r="B34" s="10" t="str">
        <f t="shared" ref="B34:B48" si="1">B17</f>
        <v>Nurse</v>
      </c>
      <c r="C34" s="340">
        <f>IFERROR((((VLOOKUP($B34,'Unit costs'!$B$25:$I$66,8,FALSE))*$C17/60)),"")</f>
        <v>0</v>
      </c>
      <c r="D34" s="340">
        <f>IFERROR((((VLOOKUP($B34,'Unit costs'!$B$25:$I$66,8,FALSE))*$D17/60)),"")</f>
        <v>0</v>
      </c>
      <c r="E34" s="340">
        <f>IFERROR((((VLOOKUP($B34,'Unit costs'!$B$25:$I$66,8,FALSE))*$E17/60)),"")</f>
        <v>0</v>
      </c>
      <c r="F34" s="340">
        <f>IFERROR((((VLOOKUP($B34,'Unit costs'!$B$25:$I$66,8,FALSE))*$F17/60)),"")</f>
        <v>0</v>
      </c>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row>
    <row r="35" spans="2:40" x14ac:dyDescent="0.25">
      <c r="B35" s="10" t="str">
        <f t="shared" si="1"/>
        <v>Doctor</v>
      </c>
      <c r="C35" s="340">
        <f>IFERROR((((VLOOKUP($B35,'Unit costs'!$B$25:$I$66,8,FALSE))*$C18/60)),"")</f>
        <v>0</v>
      </c>
      <c r="D35" s="340">
        <f>IFERROR((((VLOOKUP($B35,'Unit costs'!$B$25:$I$66,8,FALSE))*$D18/60)),"")</f>
        <v>0</v>
      </c>
      <c r="E35" s="340">
        <f>IFERROR((((VLOOKUP($B35,'Unit costs'!$B$25:$I$66,8,FALSE))*$E18/60)),"")</f>
        <v>0</v>
      </c>
      <c r="F35" s="340">
        <f>IFERROR((((VLOOKUP($B35,'Unit costs'!$B$25:$I$66,8,FALSE))*$F18/60)),"")</f>
        <v>0</v>
      </c>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row>
    <row r="36" spans="2:40" x14ac:dyDescent="0.25">
      <c r="B36" s="10" t="str">
        <f t="shared" si="1"/>
        <v>Clinical Officer</v>
      </c>
      <c r="C36" s="340">
        <f>IFERROR((((VLOOKUP($B36,'Unit costs'!$B$25:$I$66,8,FALSE))*$C19/60)),"")</f>
        <v>0</v>
      </c>
      <c r="D36" s="340">
        <f>IFERROR((((VLOOKUP($B36,'Unit costs'!$B$25:$I$66,8,FALSE))*$D19/60)),"")</f>
        <v>0</v>
      </c>
      <c r="E36" s="340">
        <f>IFERROR((((VLOOKUP($B36,'Unit costs'!$B$25:$I$66,8,FALSE))*$E19/60)),"")</f>
        <v>0</v>
      </c>
      <c r="F36" s="340">
        <f>IFERROR((((VLOOKUP($B36,'Unit costs'!$B$25:$I$66,8,FALSE))*$F19/60)),"")</f>
        <v>0</v>
      </c>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row>
    <row r="37" spans="2:40" x14ac:dyDescent="0.25">
      <c r="B37" s="10" t="str">
        <f t="shared" si="1"/>
        <v>Nurse assistant</v>
      </c>
      <c r="C37" s="340">
        <f>IFERROR((((VLOOKUP($B37,'Unit costs'!$B$25:$I$66,8,FALSE))*$C20/60)),"")</f>
        <v>0</v>
      </c>
      <c r="D37" s="340">
        <f>IFERROR((((VLOOKUP($B37,'Unit costs'!$B$25:$I$66,8,FALSE))*$D20/60)),"")</f>
        <v>0</v>
      </c>
      <c r="E37" s="340">
        <f>IFERROR((((VLOOKUP($B37,'Unit costs'!$B$25:$I$66,8,FALSE))*$E20/60)),"")</f>
        <v>0</v>
      </c>
      <c r="F37" s="340">
        <f>IFERROR((((VLOOKUP($B37,'Unit costs'!$B$25:$I$66,8,FALSE))*$F20/60)),"")</f>
        <v>0</v>
      </c>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row>
    <row r="38" spans="2:40" x14ac:dyDescent="0.25">
      <c r="B38" s="10" t="str">
        <f t="shared" si="1"/>
        <v>Assistant Research Officer</v>
      </c>
      <c r="C38" s="340">
        <f>IFERROR((((VLOOKUP($B38,'Unit costs'!$B$25:$I$66,8,FALSE))*$C21/60)),"")</f>
        <v>1.1074130642361113</v>
      </c>
      <c r="D38" s="340">
        <f>IFERROR((((VLOOKUP($B38,'Unit costs'!$B$25:$I$66,8,FALSE))*$D21/60)),"")</f>
        <v>1.1074130642361113</v>
      </c>
      <c r="E38" s="340">
        <f>IFERROR((((VLOOKUP($B38,'Unit costs'!$B$25:$I$66,8,FALSE))*$E21/60)),"")</f>
        <v>1.1074130642361113</v>
      </c>
      <c r="F38" s="340">
        <f>IFERROR((((VLOOKUP($B38,'Unit costs'!$B$25:$I$66,8,FALSE))*$F21/60)),"")</f>
        <v>1.1074130642361113</v>
      </c>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row>
    <row r="39" spans="2:40" x14ac:dyDescent="0.25">
      <c r="B39" s="10" t="str">
        <f t="shared" si="1"/>
        <v>Lab technologist</v>
      </c>
      <c r="C39" s="340">
        <f>IFERROR((((VLOOKUP($B39,'Unit costs'!$B$25:$I$66,8,FALSE))*$C22/60)),"")</f>
        <v>0.38866996544865484</v>
      </c>
      <c r="D39" s="340">
        <f>IFERROR((((VLOOKUP($B39,'Unit costs'!$B$25:$I$66,8,FALSE))*$D22/60)),"")</f>
        <v>0.38866996544865484</v>
      </c>
      <c r="E39" s="340">
        <f>IFERROR((((VLOOKUP($B39,'Unit costs'!$B$25:$I$66,8,FALSE))*$E22/60)),"")</f>
        <v>0.38866996544865484</v>
      </c>
      <c r="F39" s="340">
        <f>IFERROR((((VLOOKUP($B39,'Unit costs'!$B$25:$I$66,8,FALSE))*$F22/60)),"")</f>
        <v>0.38866996544865484</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row>
    <row r="40" spans="2:40" x14ac:dyDescent="0.25">
      <c r="B40" s="10" t="str">
        <f t="shared" si="1"/>
        <v>Lab Manager</v>
      </c>
      <c r="C40" s="340">
        <f>IFERROR((((VLOOKUP($B40,'Unit costs'!$B$25:$I$66,8,FALSE))*$C23/60)),"")</f>
        <v>0.29380341145833339</v>
      </c>
      <c r="D40" s="340">
        <f>IFERROR((((VLOOKUP($B40,'Unit costs'!$B$25:$I$66,8,FALSE))*$D23/60)),"")</f>
        <v>0.29380341145833339</v>
      </c>
      <c r="E40" s="340">
        <f>IFERROR((((VLOOKUP($B40,'Unit costs'!$B$25:$I$66,8,FALSE))*$E23/60)),"")</f>
        <v>0.29380341145833339</v>
      </c>
      <c r="F40" s="340">
        <f>IFERROR((((VLOOKUP($B40,'Unit costs'!$B$25:$I$66,8,FALSE))*$F23/60)),"")</f>
        <v>0.29380341145833339</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row>
    <row r="41" spans="2:40" x14ac:dyDescent="0.25">
      <c r="B41" s="10" t="str">
        <f t="shared" si="1"/>
        <v>Other personnel</v>
      </c>
      <c r="C41" s="340">
        <f>IFERROR((((VLOOKUP($B41,'Unit costs'!$B$25:$I$66,8,FALSE))*$C24/60)),"")</f>
        <v>0</v>
      </c>
      <c r="D41" s="340">
        <f>IFERROR((((VLOOKUP($B41,'Unit costs'!$B$25:$I$66,8,FALSE))*$D24/60)),"")</f>
        <v>0</v>
      </c>
      <c r="E41" s="340">
        <f>IFERROR((((VLOOKUP($B41,'Unit costs'!$B$25:$I$66,8,FALSE))*$E24/60)),"")</f>
        <v>0</v>
      </c>
      <c r="F41" s="340">
        <f>IFERROR((((VLOOKUP($B41,'Unit costs'!$B$25:$I$66,8,FALSE))*$F24/60)),"")</f>
        <v>0</v>
      </c>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row>
    <row r="42" spans="2:40" x14ac:dyDescent="0.25">
      <c r="B42" s="10" t="str">
        <f t="shared" si="1"/>
        <v>Other personnel</v>
      </c>
      <c r="C42" s="340">
        <f>IFERROR((((VLOOKUP($B42,'Unit costs'!$B$25:$I$66,8,FALSE))*$C25/60)),"")</f>
        <v>0</v>
      </c>
      <c r="D42" s="340">
        <f>IFERROR((((VLOOKUP($B42,'Unit costs'!$B$25:$I$66,8,FALSE))*$D25/60)),"")</f>
        <v>0</v>
      </c>
      <c r="E42" s="340">
        <f>IFERROR((((VLOOKUP($B42,'Unit costs'!$B$25:$I$66,8,FALSE))*$E25/60)),"")</f>
        <v>0</v>
      </c>
      <c r="F42" s="340">
        <f>IFERROR((((VLOOKUP($B42,'Unit costs'!$B$25:$I$66,8,FALSE))*$F25/60)),"")</f>
        <v>0</v>
      </c>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row>
    <row r="43" spans="2:40" x14ac:dyDescent="0.25">
      <c r="B43" s="10" t="str">
        <f t="shared" si="1"/>
        <v>Other personnel</v>
      </c>
      <c r="C43" s="340">
        <f>IFERROR((((VLOOKUP($B43,'Unit costs'!$B$25:$I$66,8,FALSE))*$C26/60)),"")</f>
        <v>0</v>
      </c>
      <c r="D43" s="340">
        <f>IFERROR((((VLOOKUP($B43,'Unit costs'!$B$25:$I$66,8,FALSE))*$D26/60)),"")</f>
        <v>0</v>
      </c>
      <c r="E43" s="340">
        <f>IFERROR((((VLOOKUP($B43,'Unit costs'!$B$25:$I$66,8,FALSE))*$E26/60)),"")</f>
        <v>0</v>
      </c>
      <c r="F43" s="340">
        <f>IFERROR((((VLOOKUP($B43,'Unit costs'!$B$25:$I$66,8,FALSE))*$F26/60)),"")</f>
        <v>0</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row>
    <row r="44" spans="2:40" x14ac:dyDescent="0.25">
      <c r="B44" s="10" t="str">
        <f t="shared" si="1"/>
        <v>Other personnel</v>
      </c>
      <c r="C44" s="340">
        <f>IFERROR((((VLOOKUP($B44,'Unit costs'!$B$25:$I$66,8,FALSE))*$C27/60)),"")</f>
        <v>0</v>
      </c>
      <c r="D44" s="340">
        <f>IFERROR((((VLOOKUP($B44,'Unit costs'!$B$25:$I$66,8,FALSE))*$D27/60)),"")</f>
        <v>0</v>
      </c>
      <c r="E44" s="340">
        <f>IFERROR((((VLOOKUP($B44,'Unit costs'!$B$25:$I$66,8,FALSE))*$E27/60)),"")</f>
        <v>0</v>
      </c>
      <c r="F44" s="340">
        <f>IFERROR((((VLOOKUP($B44,'Unit costs'!$B$25:$I$66,8,FALSE))*$F27/60)),"")</f>
        <v>0</v>
      </c>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row>
    <row r="45" spans="2:40" x14ac:dyDescent="0.25">
      <c r="B45" s="10" t="str">
        <f t="shared" si="1"/>
        <v>Other personnel</v>
      </c>
      <c r="C45" s="340">
        <f>IFERROR((((VLOOKUP($B45,'Unit costs'!$B$25:$I$66,8,FALSE))*$C28/60)),"")</f>
        <v>0</v>
      </c>
      <c r="D45" s="340">
        <f>IFERROR((((VLOOKUP($B45,'Unit costs'!$B$25:$I$66,8,FALSE))*$D28/60)),"")</f>
        <v>0</v>
      </c>
      <c r="E45" s="340">
        <f>IFERROR((((VLOOKUP($B45,'Unit costs'!$B$25:$I$66,8,FALSE))*$E28/60)),"")</f>
        <v>0</v>
      </c>
      <c r="F45" s="340">
        <f>IFERROR((((VLOOKUP($B45,'Unit costs'!$B$25:$I$66,8,FALSE))*$F28/60)),"")</f>
        <v>0</v>
      </c>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row>
    <row r="46" spans="2:40" x14ac:dyDescent="0.25">
      <c r="B46" s="10" t="str">
        <f t="shared" si="1"/>
        <v>Other personnel</v>
      </c>
      <c r="C46" s="340">
        <f>IFERROR((((VLOOKUP($B46,'Unit costs'!$B$25:$I$66,8,FALSE))*$C29/60)),"")</f>
        <v>0</v>
      </c>
      <c r="D46" s="340">
        <f>IFERROR((((VLOOKUP($B46,'Unit costs'!$B$25:$I$66,8,FALSE))*$D29/60)),"")</f>
        <v>0</v>
      </c>
      <c r="E46" s="340">
        <f>IFERROR((((VLOOKUP($B46,'Unit costs'!$B$25:$I$66,8,FALSE))*$E29/60)),"")</f>
        <v>0</v>
      </c>
      <c r="F46" s="340">
        <f>IFERROR((((VLOOKUP($B46,'Unit costs'!$B$25:$I$66,8,FALSE))*$F29/60)),"")</f>
        <v>0</v>
      </c>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row>
    <row r="47" spans="2:40" x14ac:dyDescent="0.25">
      <c r="B47" s="10" t="str">
        <f t="shared" si="1"/>
        <v>Other personnel</v>
      </c>
      <c r="C47" s="340">
        <f>IFERROR((((VLOOKUP($B47,'Unit costs'!$B$25:$I$66,8,FALSE))*$C30/60)),"")</f>
        <v>0</v>
      </c>
      <c r="D47" s="340">
        <f>IFERROR((((VLOOKUP($B47,'Unit costs'!$B$25:$I$66,8,FALSE))*$D30/60)),"")</f>
        <v>0</v>
      </c>
      <c r="E47" s="340">
        <f>IFERROR((((VLOOKUP($B47,'Unit costs'!$B$25:$I$66,8,FALSE))*$E30/60)),"")</f>
        <v>0</v>
      </c>
      <c r="F47" s="340">
        <f>IFERROR((((VLOOKUP($B47,'Unit costs'!$B$25:$I$66,8,FALSE))*$F30/60)),"")</f>
        <v>0</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2:40" x14ac:dyDescent="0.25">
      <c r="B48" s="10" t="str">
        <f t="shared" si="1"/>
        <v>Other personnel</v>
      </c>
      <c r="C48" s="340">
        <f>IFERROR((((VLOOKUP($B48,'Unit costs'!$B$25:$I$66,8,FALSE))*$C31/60)),"")</f>
        <v>0</v>
      </c>
      <c r="D48" s="340">
        <f>IFERROR((((VLOOKUP($B48,'Unit costs'!$B$25:$I$66,8,FALSE))*$D31/60)),"")</f>
        <v>0</v>
      </c>
      <c r="E48" s="340">
        <f>IFERROR((((VLOOKUP($B48,'Unit costs'!$B$25:$I$66,8,FALSE))*$E31/60)),"")</f>
        <v>0</v>
      </c>
      <c r="F48" s="340">
        <f>IFERROR((((VLOOKUP($B48,'Unit costs'!$B$25:$I$66,8,FALSE))*$F31/60)),"")</f>
        <v>0</v>
      </c>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1:50" x14ac:dyDescent="0.25">
      <c r="B49" s="55"/>
      <c r="C49" s="56"/>
      <c r="D49" s="56"/>
      <c r="E49" s="56"/>
      <c r="F49" s="56"/>
      <c r="G49" s="56"/>
      <c r="H49" s="229"/>
      <c r="I49" s="229"/>
      <c r="J49" s="229"/>
      <c r="K49" s="229"/>
      <c r="L49" s="229"/>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row>
    <row r="50" spans="1:50" x14ac:dyDescent="0.25">
      <c r="D50" s="230"/>
      <c r="E50" s="230"/>
      <c r="F50" s="230"/>
      <c r="G50" s="230"/>
      <c r="H50" s="230"/>
      <c r="I50" s="230"/>
      <c r="J50" s="231"/>
      <c r="K50" s="119"/>
      <c r="L50" s="119"/>
      <c r="M50" s="119"/>
      <c r="N50" s="119"/>
      <c r="O50" s="112"/>
      <c r="P50" s="112"/>
      <c r="Q50" s="112"/>
      <c r="R50" s="112"/>
      <c r="S50" s="112"/>
      <c r="T50" s="112"/>
      <c r="U50" s="112"/>
      <c r="V50" s="112"/>
      <c r="W50" s="112"/>
      <c r="X50" s="112"/>
      <c r="Y50" s="112"/>
      <c r="Z50" s="112"/>
      <c r="AA50" s="113"/>
      <c r="AB50" s="113"/>
      <c r="AC50" s="113"/>
      <c r="AD50" s="113"/>
      <c r="AE50" s="113"/>
      <c r="AF50" s="113"/>
      <c r="AG50" s="113"/>
      <c r="AH50" s="113"/>
      <c r="AI50" s="113"/>
      <c r="AJ50" s="113"/>
      <c r="AK50" s="113"/>
      <c r="AL50" s="113"/>
      <c r="AM50" s="113"/>
      <c r="AN50" s="113"/>
      <c r="AO50" s="113"/>
      <c r="AP50" s="113"/>
      <c r="AQ50" s="113"/>
      <c r="AR50" s="113"/>
      <c r="AS50" s="113"/>
      <c r="AT50" s="113"/>
      <c r="AU50" s="113"/>
    </row>
    <row r="51" spans="1:50" ht="32.450000000000003" customHeight="1" x14ac:dyDescent="0.25">
      <c r="B51" s="445" t="s">
        <v>73</v>
      </c>
      <c r="C51" s="445"/>
      <c r="D51" s="445"/>
      <c r="E51" s="445"/>
      <c r="F51" s="445"/>
      <c r="G51" s="445"/>
      <c r="H51" s="445"/>
      <c r="I51" s="445"/>
      <c r="J51" s="445"/>
      <c r="K51" s="445"/>
      <c r="L51" s="445"/>
      <c r="M51" s="119"/>
      <c r="N51" s="119"/>
      <c r="O51" s="119"/>
      <c r="P51" s="119"/>
      <c r="Q51" s="112"/>
      <c r="R51" s="112"/>
      <c r="S51" s="112"/>
      <c r="T51" s="112"/>
      <c r="U51" s="112"/>
      <c r="V51" s="112"/>
      <c r="W51" s="112"/>
      <c r="X51" s="112"/>
      <c r="Y51" s="112"/>
      <c r="Z51" s="112"/>
      <c r="AA51" s="112"/>
      <c r="AB51" s="112"/>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row>
    <row r="52" spans="1:50" s="158" customFormat="1" ht="14.45" customHeight="1" x14ac:dyDescent="0.25">
      <c r="B52" s="165"/>
      <c r="C52" s="165"/>
      <c r="D52" s="165"/>
      <c r="E52" s="165"/>
      <c r="F52" s="165"/>
      <c r="G52" s="165"/>
      <c r="H52" s="165"/>
      <c r="I52" s="165"/>
      <c r="J52" s="165"/>
      <c r="K52" s="165"/>
      <c r="L52" s="165"/>
      <c r="M52" s="207"/>
      <c r="N52" s="207"/>
      <c r="O52" s="207"/>
      <c r="P52" s="207"/>
    </row>
    <row r="53" spans="1:50" s="112" customFormat="1" ht="7.9" customHeight="1" x14ac:dyDescent="0.25">
      <c r="B53" s="120"/>
      <c r="C53" s="120"/>
      <c r="D53" s="230"/>
      <c r="E53" s="230"/>
      <c r="F53" s="230"/>
      <c r="G53" s="230"/>
      <c r="H53" s="230"/>
      <c r="I53" s="230"/>
      <c r="J53" s="231"/>
      <c r="K53" s="231"/>
      <c r="L53" s="231"/>
      <c r="M53" s="158"/>
      <c r="N53" s="158"/>
      <c r="O53" s="158"/>
      <c r="P53" s="158"/>
    </row>
    <row r="54" spans="1:50" ht="15.75" thickBot="1" x14ac:dyDescent="0.3">
      <c r="B54" s="446" t="s">
        <v>485</v>
      </c>
      <c r="C54" s="446"/>
      <c r="D54" s="446"/>
      <c r="E54" s="446"/>
      <c r="F54" s="446"/>
      <c r="G54" s="232"/>
      <c r="H54" s="232"/>
      <c r="I54" s="232"/>
      <c r="J54" s="232"/>
      <c r="K54" s="232"/>
      <c r="L54" s="232"/>
      <c r="M54" s="231"/>
      <c r="N54" s="231"/>
      <c r="O54" s="231"/>
      <c r="P54" s="231"/>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row>
    <row r="55" spans="1:50" ht="45.6" customHeight="1" x14ac:dyDescent="0.25">
      <c r="A55" s="120"/>
      <c r="B55" s="233" t="s">
        <v>320</v>
      </c>
      <c r="C55" s="246" t="str">
        <f>'Set up'!B18</f>
        <v>Abbott M2000 RealTime</v>
      </c>
      <c r="D55" s="246" t="str">
        <f>'Set up'!B19</f>
        <v>Abbott M2000 RealTime</v>
      </c>
      <c r="E55" s="246" t="str">
        <f>'Set up'!B20</f>
        <v>Roche COBAS Ampliprep/TaqMan 48</v>
      </c>
      <c r="F55" s="246" t="str">
        <f>'Set up'!B21</f>
        <v>Roche COBAS Ampliprep/TaqMan 48</v>
      </c>
      <c r="G55" s="231"/>
    </row>
    <row r="56" spans="1:50" ht="12.75" customHeight="1" x14ac:dyDescent="0.25">
      <c r="A56" s="120"/>
      <c r="B56" s="235" t="s">
        <v>42</v>
      </c>
      <c r="C56" s="345">
        <f>'Set up'!$D$18</f>
        <v>46500</v>
      </c>
      <c r="D56" s="345">
        <f>'Set up'!$D$19</f>
        <v>46500</v>
      </c>
      <c r="E56" s="345">
        <f>'Set up'!$D$20</f>
        <v>42000</v>
      </c>
      <c r="F56" s="345">
        <f>'Set up'!$D$21</f>
        <v>42000</v>
      </c>
      <c r="G56" s="231"/>
    </row>
    <row r="57" spans="1:50" x14ac:dyDescent="0.25">
      <c r="A57" s="120"/>
      <c r="B57" s="235" t="s">
        <v>43</v>
      </c>
      <c r="C57" s="345">
        <f>'Set up'!$D$18</f>
        <v>46500</v>
      </c>
      <c r="D57" s="345">
        <f>'Set up'!$D$19</f>
        <v>46500</v>
      </c>
      <c r="E57" s="345">
        <f>'Set up'!$D$20</f>
        <v>42000</v>
      </c>
      <c r="F57" s="345">
        <f>'Set up'!$D$21</f>
        <v>42000</v>
      </c>
      <c r="G57" s="231"/>
    </row>
    <row r="58" spans="1:50" x14ac:dyDescent="0.25">
      <c r="A58" s="120"/>
      <c r="B58" s="235" t="s">
        <v>48</v>
      </c>
      <c r="C58" s="345">
        <f>'Set up'!$D$18</f>
        <v>46500</v>
      </c>
      <c r="D58" s="345">
        <f>'Set up'!$D$19</f>
        <v>46500</v>
      </c>
      <c r="E58" s="345">
        <f>'Set up'!$D$20</f>
        <v>42000</v>
      </c>
      <c r="F58" s="345">
        <f>'Set up'!$D$21</f>
        <v>42000</v>
      </c>
      <c r="G58" s="231"/>
    </row>
    <row r="59" spans="1:50" x14ac:dyDescent="0.25">
      <c r="B59" s="235" t="s">
        <v>56</v>
      </c>
      <c r="C59" s="345">
        <f>'Set up'!$D$18</f>
        <v>46500</v>
      </c>
      <c r="D59" s="345">
        <f>'Set up'!$D$19</f>
        <v>46500</v>
      </c>
      <c r="E59" s="345">
        <f>'Set up'!$D$20</f>
        <v>42000</v>
      </c>
      <c r="F59" s="345">
        <f>'Set up'!$D$21</f>
        <v>42000</v>
      </c>
    </row>
    <row r="60" spans="1:50" x14ac:dyDescent="0.25">
      <c r="B60" s="235" t="s">
        <v>50</v>
      </c>
      <c r="C60" s="345">
        <f>'Set up'!$D$18</f>
        <v>46500</v>
      </c>
      <c r="D60" s="345">
        <f>'Set up'!$D$19</f>
        <v>46500</v>
      </c>
      <c r="E60" s="345">
        <f>'Set up'!$D$20</f>
        <v>42000</v>
      </c>
      <c r="F60" s="345">
        <f>'Set up'!$D$21</f>
        <v>42000</v>
      </c>
    </row>
    <row r="61" spans="1:50" x14ac:dyDescent="0.25">
      <c r="B61" s="235" t="s">
        <v>53</v>
      </c>
      <c r="C61" s="345">
        <f>'Set up'!$D$18</f>
        <v>46500</v>
      </c>
      <c r="D61" s="345">
        <f>'Set up'!$D$19</f>
        <v>46500</v>
      </c>
      <c r="E61" s="345">
        <f>'Set up'!$D$20</f>
        <v>42000</v>
      </c>
      <c r="F61" s="345">
        <f>'Set up'!$D$21</f>
        <v>42000</v>
      </c>
    </row>
    <row r="62" spans="1:50" x14ac:dyDescent="0.25">
      <c r="B62" s="235" t="s">
        <v>65</v>
      </c>
      <c r="C62" s="345">
        <f>'Set up'!$D$18</f>
        <v>46500</v>
      </c>
      <c r="D62" s="345">
        <f>'Set up'!$D$19</f>
        <v>46500</v>
      </c>
      <c r="E62" s="345">
        <f>'Set up'!$D$20</f>
        <v>42000</v>
      </c>
      <c r="F62" s="345">
        <f>'Set up'!$D$21</f>
        <v>42000</v>
      </c>
    </row>
    <row r="63" spans="1:50" x14ac:dyDescent="0.25">
      <c r="B63" s="235" t="s">
        <v>46</v>
      </c>
      <c r="C63" s="345">
        <f>'Set up'!$D$18</f>
        <v>46500</v>
      </c>
      <c r="D63" s="345">
        <f>'Set up'!$D$19</f>
        <v>46500</v>
      </c>
      <c r="E63" s="345">
        <f>'Set up'!$D$20</f>
        <v>42000</v>
      </c>
      <c r="F63" s="345">
        <f>'Set up'!$D$21</f>
        <v>42000</v>
      </c>
    </row>
    <row r="64" spans="1:50" x14ac:dyDescent="0.25">
      <c r="B64" s="235" t="s">
        <v>66</v>
      </c>
      <c r="C64" s="345">
        <f>'Set up'!$D$18</f>
        <v>46500</v>
      </c>
      <c r="D64" s="345">
        <f>'Set up'!$D$19</f>
        <v>46500</v>
      </c>
      <c r="E64" s="345">
        <f>'Set up'!$D$20</f>
        <v>42000</v>
      </c>
      <c r="F64" s="345">
        <f>'Set up'!$D$21</f>
        <v>42000</v>
      </c>
    </row>
    <row r="65" spans="2:6" x14ac:dyDescent="0.25">
      <c r="B65" s="235" t="s">
        <v>52</v>
      </c>
      <c r="C65" s="345">
        <f>'Set up'!$D$18</f>
        <v>46500</v>
      </c>
      <c r="D65" s="345">
        <f>'Set up'!$D$19</f>
        <v>46500</v>
      </c>
      <c r="E65" s="345">
        <f>'Set up'!$D$20</f>
        <v>42000</v>
      </c>
      <c r="F65" s="345">
        <f>'Set up'!$D$21</f>
        <v>42000</v>
      </c>
    </row>
    <row r="66" spans="2:6" x14ac:dyDescent="0.25">
      <c r="B66" s="235" t="s">
        <v>86</v>
      </c>
      <c r="C66" s="345">
        <f>'Set up'!$D$18</f>
        <v>46500</v>
      </c>
      <c r="D66" s="345">
        <f>'Set up'!$D$19</f>
        <v>46500</v>
      </c>
      <c r="E66" s="345">
        <f>'Set up'!$D$20</f>
        <v>42000</v>
      </c>
      <c r="F66" s="345">
        <f>'Set up'!$D$21</f>
        <v>42000</v>
      </c>
    </row>
    <row r="67" spans="2:6" x14ac:dyDescent="0.25">
      <c r="B67" s="235" t="s">
        <v>86</v>
      </c>
      <c r="C67" s="345">
        <f>'Set up'!$D$18</f>
        <v>46500</v>
      </c>
      <c r="D67" s="345">
        <f>'Set up'!$D$19</f>
        <v>46500</v>
      </c>
      <c r="E67" s="345">
        <f>'Set up'!$D$20</f>
        <v>42000</v>
      </c>
      <c r="F67" s="345">
        <f>'Set up'!$D$21</f>
        <v>42000</v>
      </c>
    </row>
    <row r="68" spans="2:6" x14ac:dyDescent="0.25">
      <c r="B68" s="235" t="s">
        <v>86</v>
      </c>
      <c r="C68" s="345">
        <f>'Set up'!$D$18</f>
        <v>46500</v>
      </c>
      <c r="D68" s="345">
        <f>'Set up'!$D$19</f>
        <v>46500</v>
      </c>
      <c r="E68" s="345">
        <f>'Set up'!$D$20</f>
        <v>42000</v>
      </c>
      <c r="F68" s="345">
        <f>'Set up'!$D$21</f>
        <v>42000</v>
      </c>
    </row>
    <row r="69" spans="2:6" x14ac:dyDescent="0.25">
      <c r="B69" s="235" t="s">
        <v>86</v>
      </c>
      <c r="C69" s="345">
        <f>'Set up'!$D$18</f>
        <v>46500</v>
      </c>
      <c r="D69" s="345">
        <f>'Set up'!$D$19</f>
        <v>46500</v>
      </c>
      <c r="E69" s="345">
        <f>'Set up'!$D$20</f>
        <v>42000</v>
      </c>
      <c r="F69" s="345">
        <f>'Set up'!$D$21</f>
        <v>42000</v>
      </c>
    </row>
    <row r="70" spans="2:6" x14ac:dyDescent="0.25">
      <c r="B70" s="235" t="s">
        <v>86</v>
      </c>
      <c r="C70" s="345">
        <f>'Set up'!$D$18</f>
        <v>46500</v>
      </c>
      <c r="D70" s="345">
        <f>'Set up'!$D$19</f>
        <v>46500</v>
      </c>
      <c r="E70" s="345">
        <f>'Set up'!$D$20</f>
        <v>42000</v>
      </c>
      <c r="F70" s="345">
        <f>'Set up'!$D$21</f>
        <v>42000</v>
      </c>
    </row>
    <row r="71" spans="2:6" x14ac:dyDescent="0.25">
      <c r="B71" s="231"/>
      <c r="C71" s="231"/>
      <c r="D71" s="231"/>
      <c r="E71" s="231"/>
      <c r="F71" s="231"/>
    </row>
    <row r="72" spans="2:6" ht="15.75" thickBot="1" x14ac:dyDescent="0.3">
      <c r="B72" s="446" t="s">
        <v>509</v>
      </c>
      <c r="C72" s="446"/>
      <c r="D72" s="446"/>
      <c r="E72" s="446"/>
      <c r="F72" s="446"/>
    </row>
    <row r="73" spans="2:6" x14ac:dyDescent="0.25">
      <c r="B73" s="237" t="str">
        <f>B56</f>
        <v>Samples rack</v>
      </c>
      <c r="C73" s="352">
        <f>IFERROR((VLOOKUP($B73,'Unit costs'!$B$178:$F$206,5,FALSE)/C56),"")</f>
        <v>6.4516129032258064E-4</v>
      </c>
      <c r="D73" s="352">
        <f>IFERROR((VLOOKUP($B73,'Unit costs'!$B$178:$F$206,5,FALSE)/D$56),"")</f>
        <v>6.4516129032258064E-4</v>
      </c>
      <c r="E73" s="352">
        <f>IFERROR((VLOOKUP($B73,'Unit costs'!$B$178:$F$206,5,FALSE)/$E56),"")</f>
        <v>7.1428571428571429E-4</v>
      </c>
      <c r="F73" s="352">
        <f>IFERROR((VLOOKUP($B73,'Unit costs'!$B$178:$F$206,5,FALSE)/$F56),"")</f>
        <v>7.1428571428571429E-4</v>
      </c>
    </row>
    <row r="74" spans="2:6" x14ac:dyDescent="0.25">
      <c r="B74" s="237" t="str">
        <f t="shared" ref="B74:B86" si="2">B57</f>
        <v>Freezer, blood product</v>
      </c>
      <c r="C74" s="352">
        <f>IFERROR((VLOOKUP($B74,'Unit costs'!$B$178:$F$206,5,FALSE)/'Set up'!D18),"")</f>
        <v>1.7204301075268817E-2</v>
      </c>
      <c r="D74" s="352">
        <f>IFERROR((VLOOKUP($B74,'Unit costs'!$B$178:$F$206,5,FALSE)/D$57),"")</f>
        <v>1.7204301075268817E-2</v>
      </c>
      <c r="E74" s="352">
        <f>IFERROR((VLOOKUP($B74,'Unit costs'!$B$178:$F$206,5,FALSE)/$E57),"")</f>
        <v>1.9047619047619049E-2</v>
      </c>
      <c r="F74" s="352">
        <f>IFERROR((VLOOKUP($B74,'Unit costs'!$B$178:$F$206,5,FALSE)/$F57),"")</f>
        <v>1.9047619047619049E-2</v>
      </c>
    </row>
    <row r="75" spans="2:6" x14ac:dyDescent="0.25">
      <c r="B75" s="237" t="str">
        <f t="shared" si="2"/>
        <v>Analyser, blood culture, automated</v>
      </c>
      <c r="C75" s="352">
        <f>IFERROR((VLOOKUP($B75,'Unit costs'!$B$178:$F$206,5,FALSE)/C58),"")</f>
        <v>1.7556989247311826E-2</v>
      </c>
      <c r="D75" s="352">
        <f>IFERROR((VLOOKUP($B75,'Unit costs'!$B$178:$F$206,5,FALSE)/D$58),"")</f>
        <v>1.7556989247311826E-2</v>
      </c>
      <c r="E75" s="352">
        <f>IFERROR((VLOOKUP($B75,'Unit costs'!$B$178:$F$206,5,FALSE)/$E58),"")</f>
        <v>1.9438095238095237E-2</v>
      </c>
      <c r="F75" s="352">
        <f>IFERROR((VLOOKUP($B75,'Unit costs'!$B$178:$F$206,5,FALSE)/$F58),"")</f>
        <v>1.9438095238095237E-2</v>
      </c>
    </row>
    <row r="76" spans="2:6" x14ac:dyDescent="0.25">
      <c r="B76" s="237" t="str">
        <f t="shared" si="2"/>
        <v>Laptop</v>
      </c>
      <c r="C76" s="352">
        <f>IFERROR((VLOOKUP($B76,'Unit costs'!$B$178:$F$206,5,FALSE)/C59),"")</f>
        <v>1.2903225806451613E-3</v>
      </c>
      <c r="D76" s="352">
        <f>IFERROR((VLOOKUP($B76,'Unit costs'!$B$178:$F$206,5,FALSE)/D$59),"")</f>
        <v>1.2903225806451613E-3</v>
      </c>
      <c r="E76" s="352">
        <f>IFERROR((VLOOKUP($B76,'Unit costs'!$B$178:$F$206,5,FALSE)/$E59),"")</f>
        <v>1.4285714285714286E-3</v>
      </c>
      <c r="F76" s="352">
        <f>IFERROR((VLOOKUP($B76,'Unit costs'!$B$178:$F$206,5,FALSE)/$F59),"")</f>
        <v>1.4285714285714286E-3</v>
      </c>
    </row>
    <row r="77" spans="2:6" x14ac:dyDescent="0.25">
      <c r="B77" s="237" t="str">
        <f t="shared" si="2"/>
        <v>Refrigerator</v>
      </c>
      <c r="C77" s="352">
        <f>IFERROR((VLOOKUP($B77,'Unit costs'!$B$178:$F$206,5,FALSE)/C60),"")</f>
        <v>8.0881720430107523E-3</v>
      </c>
      <c r="D77" s="352">
        <f>IFERROR((VLOOKUP($B77,'Unit costs'!$B$178:$F$206,5,FALSE)/D$60),"")</f>
        <v>8.0881720430107523E-3</v>
      </c>
      <c r="E77" s="352">
        <f>IFERROR((VLOOKUP($B77,'Unit costs'!$B$178:$F$206,5,FALSE)/$E60),"")</f>
        <v>8.9547619047619046E-3</v>
      </c>
      <c r="F77" s="352">
        <f>IFERROR((VLOOKUP($B77,'Unit costs'!$B$178:$F$206,5,FALSE)/$F60),"")</f>
        <v>8.9547619047619046E-3</v>
      </c>
    </row>
    <row r="78" spans="2:6" x14ac:dyDescent="0.25">
      <c r="B78" s="237" t="str">
        <f t="shared" si="2"/>
        <v>Bio-safety cabinet</v>
      </c>
      <c r="C78" s="352">
        <f>IFERROR((VLOOKUP($B78,'Unit costs'!$B$178:$F$206,5,FALSE)/C61),"")</f>
        <v>4.3010752688172043E-3</v>
      </c>
      <c r="D78" s="352">
        <f>IFERROR((VLOOKUP($B78,'Unit costs'!$B$178:$F$206,5,FALSE)/D$61),"")</f>
        <v>4.3010752688172043E-3</v>
      </c>
      <c r="E78" s="352">
        <f>IFERROR((VLOOKUP($B78,'Unit costs'!$B$178:$F$206,5,FALSE)/$E61),"")</f>
        <v>4.7619047619047623E-3</v>
      </c>
      <c r="F78" s="352">
        <f>IFERROR((VLOOKUP($B78,'Unit costs'!$B$178:$F$206,5,FALSE)/$F61),"")</f>
        <v>4.7619047619047623E-3</v>
      </c>
    </row>
    <row r="79" spans="2:6" x14ac:dyDescent="0.25">
      <c r="B79" s="237" t="str">
        <f t="shared" si="2"/>
        <v>Blood Shakers</v>
      </c>
      <c r="C79" s="352">
        <f>IFERROR((VLOOKUP($B79,'Unit costs'!$B$178:$F$206,5,FALSE)/C63),"")</f>
        <v>3.8709677419354839E-3</v>
      </c>
      <c r="D79" s="352">
        <f>IFERROR((VLOOKUP($B79,'Unit costs'!$B$178:$F$206,5,FALSE)/D$62),"")</f>
        <v>3.8709677419354839E-3</v>
      </c>
      <c r="E79" s="352">
        <f>IFERROR((VLOOKUP($B79,'Unit costs'!$B$178:$F$206,5,FALSE)/$E62),"")</f>
        <v>4.2857142857142859E-3</v>
      </c>
      <c r="F79" s="352">
        <f>IFERROR((VLOOKUP($B79,'Unit costs'!$B$178:$F$206,5,FALSE)/$F62),"")</f>
        <v>4.2857142857142859E-3</v>
      </c>
    </row>
    <row r="80" spans="2:6" x14ac:dyDescent="0.25">
      <c r="B80" s="237" t="str">
        <f t="shared" si="2"/>
        <v>Autoclave</v>
      </c>
      <c r="C80" s="352">
        <f>IFERROR((VLOOKUP($B80,'Unit costs'!$B$178:$F$206,5,FALSE)/C64),"")</f>
        <v>9.0322580645161299E-3</v>
      </c>
      <c r="D80" s="352">
        <f>IFERROR((VLOOKUP($B80,'Unit costs'!$B$178:$F$206,5,FALSE)/D$63),"")</f>
        <v>9.0322580645161299E-3</v>
      </c>
      <c r="E80" s="352">
        <f>IFERROR((VLOOKUP($B80,'Unit costs'!$B$178:$F$206,5,FALSE)/$E63),"")</f>
        <v>0.01</v>
      </c>
      <c r="F80" s="352">
        <f>IFERROR((VLOOKUP($B80,'Unit costs'!$B$178:$F$206,5,FALSE)/$F63),"")</f>
        <v>0.01</v>
      </c>
    </row>
    <row r="81" spans="2:12" x14ac:dyDescent="0.25">
      <c r="B81" s="237" t="str">
        <f t="shared" si="2"/>
        <v>Emergency battery</v>
      </c>
      <c r="C81" s="352">
        <f>IFERROR((VLOOKUP($B81,'Unit costs'!$B$178:$F$206,5,FALSE)/C65),"")</f>
        <v>5.1612903225806452E-3</v>
      </c>
      <c r="D81" s="352">
        <f>IFERROR((VLOOKUP($B81,'Unit costs'!$B$178:$F$206,5,FALSE)/D$64),"")</f>
        <v>5.1612903225806452E-3</v>
      </c>
      <c r="E81" s="352">
        <f>IFERROR((VLOOKUP($B81,'Unit costs'!$B$178:$F$206,5,FALSE)/$E64),"")</f>
        <v>5.7142857142857143E-3</v>
      </c>
      <c r="F81" s="352">
        <f>IFERROR((VLOOKUP($B81,'Unit costs'!$B$178:$F$206,5,FALSE)/$F64),"")</f>
        <v>5.7142857142857143E-3</v>
      </c>
    </row>
    <row r="82" spans="2:12" x14ac:dyDescent="0.25">
      <c r="B82" s="237" t="str">
        <f t="shared" si="2"/>
        <v>Generator</v>
      </c>
      <c r="C82" s="352">
        <f>IFERROR((VLOOKUP($B82,'Unit costs'!$B$178:$F$206,5,FALSE)/C66),"")</f>
        <v>1.2903225806451613E-3</v>
      </c>
      <c r="D82" s="352">
        <f>IFERROR((VLOOKUP($B82,'Unit costs'!$B$178:$F$206,5,FALSE)/D$65),"")</f>
        <v>1.2903225806451613E-3</v>
      </c>
      <c r="E82" s="352">
        <f>IFERROR((VLOOKUP($B82,'Unit costs'!$B$178:$F$206,5,FALSE)/$E65),"")</f>
        <v>1.4285714285714286E-3</v>
      </c>
      <c r="F82" s="352">
        <f>IFERROR((VLOOKUP($B82,'Unit costs'!$B$178:$F$206,5,FALSE)/$F65),"")</f>
        <v>1.4285714285714286E-3</v>
      </c>
    </row>
    <row r="83" spans="2:12" x14ac:dyDescent="0.25">
      <c r="B83" s="237" t="str">
        <f t="shared" si="2"/>
        <v>Other</v>
      </c>
      <c r="C83" s="352" t="str">
        <f>IFERROR((VLOOKUP($B83,'Unit costs'!$B$178:$F$206,5,FALSE)/C67),"")</f>
        <v/>
      </c>
      <c r="D83" s="352" t="str">
        <f>IFERROR((VLOOKUP($B83,'Unit costs'!$B$178:$F$206,5,FALSE)/D$66),"")</f>
        <v/>
      </c>
      <c r="E83" s="352" t="str">
        <f>IFERROR((VLOOKUP($B83,'Unit costs'!$B$178:$F$206,5,FALSE)/$E66),"")</f>
        <v/>
      </c>
      <c r="F83" s="352" t="str">
        <f>IFERROR((VLOOKUP($B83,'Unit costs'!$B$178:$F$206,5,FALSE)/$F66),"")</f>
        <v/>
      </c>
    </row>
    <row r="84" spans="2:12" x14ac:dyDescent="0.25">
      <c r="B84" s="237" t="str">
        <f t="shared" si="2"/>
        <v>Other</v>
      </c>
      <c r="C84" s="352" t="str">
        <f>IFERROR((VLOOKUP($B84,'Unit costs'!$B$178:$F$206,5,FALSE)/C68),"")</f>
        <v/>
      </c>
      <c r="D84" s="352" t="str">
        <f>IFERROR((VLOOKUP($B84,'Unit costs'!$B$178:$F$206,5,FALSE)/D$67),"")</f>
        <v/>
      </c>
      <c r="E84" s="352" t="str">
        <f>IFERROR((VLOOKUP($B84,'Unit costs'!$B$178:$F$206,5,FALSE)/$E67),"")</f>
        <v/>
      </c>
      <c r="F84" s="352" t="str">
        <f>IFERROR((VLOOKUP($B84,'Unit costs'!$B$178:$F$206,5,FALSE)/$F67),"")</f>
        <v/>
      </c>
    </row>
    <row r="85" spans="2:12" x14ac:dyDescent="0.25">
      <c r="B85" s="237" t="str">
        <f t="shared" si="2"/>
        <v>Other</v>
      </c>
      <c r="C85" s="352" t="str">
        <f>IFERROR((VLOOKUP($B85,'Unit costs'!$B$178:$F$206,5,FALSE)/C69),"")</f>
        <v/>
      </c>
      <c r="D85" s="352" t="str">
        <f>IFERROR((VLOOKUP($B85,'Unit costs'!$B$178:$F$206,5,FALSE)/D$68),"")</f>
        <v/>
      </c>
      <c r="E85" s="352" t="str">
        <f>IFERROR((VLOOKUP($B85,'Unit costs'!$B$178:$F$206,5,FALSE)/$E68),"")</f>
        <v/>
      </c>
      <c r="F85" s="352" t="str">
        <f>IFERROR((VLOOKUP($B85,'Unit costs'!$B$178:$F$206,5,FALSE)/$F68),"")</f>
        <v/>
      </c>
    </row>
    <row r="86" spans="2:12" x14ac:dyDescent="0.25">
      <c r="B86" s="237" t="str">
        <f t="shared" si="2"/>
        <v>Other</v>
      </c>
      <c r="C86" s="352" t="str">
        <f>IFERROR((VLOOKUP($B86,'Unit costs'!$B$178:$F$206,5,FALSE)/C70),"")</f>
        <v/>
      </c>
      <c r="D86" s="352" t="str">
        <f>IFERROR((VLOOKUP($B86,'Unit costs'!$B$178:$F$206,5,FALSE)/D$69),"")</f>
        <v/>
      </c>
      <c r="E86" s="352" t="str">
        <f>IFERROR((VLOOKUP($B86,'Unit costs'!$B$178:$F$206,5,FALSE)/$E69),"")</f>
        <v/>
      </c>
      <c r="F86" s="352" t="str">
        <f>IFERROR((VLOOKUP($B86,'Unit costs'!$B$178:$F$206,5,FALSE)/$F69),"")</f>
        <v/>
      </c>
    </row>
    <row r="87" spans="2:12" x14ac:dyDescent="0.25">
      <c r="B87" s="231"/>
      <c r="C87" s="231"/>
      <c r="D87" s="231"/>
      <c r="E87" s="231"/>
      <c r="F87" s="231"/>
      <c r="G87" s="231"/>
      <c r="H87" s="236"/>
      <c r="I87" s="236"/>
      <c r="J87" s="236"/>
      <c r="K87" s="236"/>
      <c r="L87" s="236"/>
    </row>
    <row r="88" spans="2:12" ht="8.4499999999999993" customHeight="1" x14ac:dyDescent="0.25"/>
    <row r="89" spans="2:12" ht="27.6" customHeight="1" x14ac:dyDescent="0.25">
      <c r="B89" s="445" t="s">
        <v>74</v>
      </c>
      <c r="C89" s="445"/>
      <c r="D89" s="445"/>
      <c r="E89" s="445"/>
      <c r="F89" s="445"/>
      <c r="G89" s="445"/>
      <c r="H89" s="445"/>
      <c r="I89" s="445"/>
      <c r="J89" s="445"/>
      <c r="K89" s="445"/>
      <c r="L89" s="445"/>
    </row>
    <row r="90" spans="2:12" x14ac:dyDescent="0.25">
      <c r="B90" s="147"/>
      <c r="C90" s="147"/>
      <c r="D90" s="147"/>
      <c r="E90" s="147"/>
      <c r="F90" s="147"/>
      <c r="G90" s="147"/>
      <c r="H90" s="147"/>
      <c r="I90" s="147"/>
      <c r="J90" s="158"/>
      <c r="K90" s="158"/>
      <c r="L90" s="158"/>
    </row>
    <row r="91" spans="2:12" ht="15.75" thickBot="1" x14ac:dyDescent="0.3">
      <c r="B91" s="250" t="s">
        <v>520</v>
      </c>
      <c r="C91" s="250"/>
      <c r="D91" s="250"/>
      <c r="E91" s="250" t="s">
        <v>511</v>
      </c>
      <c r="F91" s="250"/>
      <c r="G91" s="250"/>
    </row>
    <row r="92" spans="2:12" ht="26.25" customHeight="1" x14ac:dyDescent="0.25">
      <c r="B92" s="251" t="str">
        <f>'Set up'!B18</f>
        <v>Abbott M2000 RealTime</v>
      </c>
      <c r="C92" s="252"/>
      <c r="D92" s="253"/>
      <c r="E92" s="476" t="str">
        <f>'Set up'!B18</f>
        <v>Abbott M2000 RealTime</v>
      </c>
      <c r="F92" s="477"/>
      <c r="G92" s="478"/>
      <c r="H92" s="252"/>
    </row>
    <row r="93" spans="2:12" x14ac:dyDescent="0.25">
      <c r="B93" s="244" t="s">
        <v>274</v>
      </c>
      <c r="C93" s="403">
        <f>IFERROR(VLOOKUP($B93,'Unit costs'!$B$72:$F$83,4,FALSE),"")</f>
        <v>1</v>
      </c>
      <c r="D93" s="254"/>
      <c r="E93" s="466" t="str">
        <f>B93</f>
        <v>Specimen Pre-Extraction kit (SPEX) (box of 50)</v>
      </c>
      <c r="F93" s="467"/>
      <c r="G93" s="468"/>
      <c r="H93" s="349">
        <f>IFERROR(VLOOKUP($B93,'Unit costs'!$B$72:$F$83,5,FALSE)*C93,"")</f>
        <v>6</v>
      </c>
    </row>
    <row r="94" spans="2:12" x14ac:dyDescent="0.25">
      <c r="B94" s="244" t="s">
        <v>32</v>
      </c>
      <c r="C94" s="403">
        <f>IFERROR(VLOOKUP($B94,'Unit costs'!$B$72:$F$83,4,FALSE),"")</f>
        <v>1</v>
      </c>
      <c r="D94" s="254"/>
      <c r="E94" s="466" t="str">
        <f>B94</f>
        <v>Sample preparation kit (mSample Preparation System DNA) (1 kit = 96 tests)</v>
      </c>
      <c r="F94" s="467"/>
      <c r="G94" s="468"/>
      <c r="H94" s="349">
        <f>IFERROR(VLOOKUP($B94,'Unit costs'!$B$72:$F$83,5,FALSE)*C94,"")</f>
        <v>3</v>
      </c>
    </row>
    <row r="95" spans="2:12" x14ac:dyDescent="0.25">
      <c r="B95" s="244" t="s">
        <v>33</v>
      </c>
      <c r="C95" s="403">
        <f>IFERROR(VLOOKUP($B95,'Unit costs'!$B$72:$F$83,4,FALSE),"")</f>
        <v>1</v>
      </c>
      <c r="D95" s="254"/>
      <c r="E95" s="466" t="str">
        <f>B95</f>
        <v>Amplification kIt (Abbott RealTime HIV-1 Qualitative Amplification Reagent Kit) (1 kit = 96 tests)</v>
      </c>
      <c r="F95" s="467"/>
      <c r="G95" s="468"/>
      <c r="H95" s="349">
        <f>IFERROR(VLOOKUP($B95,'Unit costs'!$B$72:$F$83,5,FALSE)*C95,"")</f>
        <v>7.145833333333333</v>
      </c>
    </row>
    <row r="96" spans="2:12" x14ac:dyDescent="0.25">
      <c r="B96" s="244"/>
      <c r="C96" s="403" t="str">
        <f>IFERROR(VLOOKUP($B96,'Unit costs'!$B$72:$F$83,4,FALSE),"")</f>
        <v/>
      </c>
      <c r="D96" s="254"/>
      <c r="E96" s="466">
        <f>IFERROR(B96,"")</f>
        <v>0</v>
      </c>
      <c r="F96" s="467"/>
      <c r="G96" s="468"/>
      <c r="H96" s="349" t="str">
        <f>IFERROR(VLOOKUP($B96,'Unit costs'!$B$72:$F$83,5,FALSE)*C96,"")</f>
        <v/>
      </c>
    </row>
    <row r="97" spans="2:12" x14ac:dyDescent="0.25">
      <c r="B97" s="244"/>
      <c r="C97" s="403" t="str">
        <f>IFERROR(VLOOKUP($B97,'Unit costs'!$B$72:$F$83,4,FALSE),"")</f>
        <v/>
      </c>
      <c r="D97" s="254"/>
      <c r="E97" s="466">
        <f t="shared" ref="E97" si="3">B97</f>
        <v>0</v>
      </c>
      <c r="F97" s="467"/>
      <c r="G97" s="468"/>
      <c r="H97" s="349" t="str">
        <f>IFERROR(VLOOKUP($B97,'Unit costs'!$B$72:$F$83,5,FALSE)*C97,"")</f>
        <v/>
      </c>
    </row>
    <row r="98" spans="2:12" ht="26.25" customHeight="1" x14ac:dyDescent="0.25">
      <c r="B98" s="255" t="str">
        <f>'Set up'!B19</f>
        <v>Abbott M2000 RealTime</v>
      </c>
      <c r="C98" s="347"/>
      <c r="D98" s="254"/>
      <c r="E98" s="469" t="str">
        <f>'Set up'!B19</f>
        <v>Abbott M2000 RealTime</v>
      </c>
      <c r="F98" s="470"/>
      <c r="G98" s="471"/>
      <c r="H98" s="347"/>
    </row>
    <row r="99" spans="2:12" x14ac:dyDescent="0.25">
      <c r="B99" s="244" t="s">
        <v>274</v>
      </c>
      <c r="C99" s="403">
        <f>IFERROR(VLOOKUP($B99,'Unit costs'!$B$72:$F$83,4,FALSE),"")</f>
        <v>1</v>
      </c>
      <c r="D99" s="254"/>
      <c r="E99" s="466" t="str">
        <f>B99</f>
        <v>Specimen Pre-Extraction kit (SPEX) (box of 50)</v>
      </c>
      <c r="F99" s="467"/>
      <c r="G99" s="468"/>
      <c r="H99" s="349">
        <f>IFERROR(VLOOKUP($B99,'Unit costs'!$B$72:$F$83,5,FALSE)*C99,"")</f>
        <v>6</v>
      </c>
    </row>
    <row r="100" spans="2:12" x14ac:dyDescent="0.25">
      <c r="B100" s="244" t="s">
        <v>32</v>
      </c>
      <c r="C100" s="403">
        <f>IFERROR(VLOOKUP($B100,'Unit costs'!$B$72:$F$83,4,FALSE),"")</f>
        <v>1</v>
      </c>
      <c r="D100" s="254"/>
      <c r="E100" s="466" t="str">
        <f t="shared" ref="E100:E103" si="4">B100</f>
        <v>Sample preparation kit (mSample Preparation System DNA) (1 kit = 96 tests)</v>
      </c>
      <c r="F100" s="467"/>
      <c r="G100" s="468"/>
      <c r="H100" s="349">
        <f>IFERROR(VLOOKUP($B100,'Unit costs'!$B$72:$F$83,5,FALSE)*C100,"")</f>
        <v>3</v>
      </c>
    </row>
    <row r="101" spans="2:12" x14ac:dyDescent="0.25">
      <c r="B101" s="244" t="s">
        <v>33</v>
      </c>
      <c r="C101" s="403">
        <f>IFERROR(VLOOKUP($B101,'Unit costs'!$B$72:$F$83,4,FALSE),"")</f>
        <v>1</v>
      </c>
      <c r="D101" s="254"/>
      <c r="E101" s="466" t="str">
        <f t="shared" si="4"/>
        <v>Amplification kIt (Abbott RealTime HIV-1 Qualitative Amplification Reagent Kit) (1 kit = 96 tests)</v>
      </c>
      <c r="F101" s="467"/>
      <c r="G101" s="468"/>
      <c r="H101" s="349">
        <f>IFERROR(VLOOKUP($B101,'Unit costs'!$B$72:$F$83,5,FALSE)*C101,"")</f>
        <v>7.145833333333333</v>
      </c>
    </row>
    <row r="102" spans="2:12" x14ac:dyDescent="0.25">
      <c r="B102" s="244"/>
      <c r="C102" s="403" t="str">
        <f>IFERROR(VLOOKUP($B102,'Unit costs'!$B$72:$F$83,4,FALSE),"")</f>
        <v/>
      </c>
      <c r="D102" s="254"/>
      <c r="E102" s="466">
        <f t="shared" si="4"/>
        <v>0</v>
      </c>
      <c r="F102" s="467"/>
      <c r="G102" s="468"/>
      <c r="H102" s="349" t="str">
        <f>IFERROR(VLOOKUP($B102,'Unit costs'!$B$72:$F$83,5,FALSE)*C102,"")</f>
        <v/>
      </c>
    </row>
    <row r="103" spans="2:12" x14ac:dyDescent="0.25">
      <c r="B103" s="244"/>
      <c r="C103" s="403" t="str">
        <f>IFERROR(VLOOKUP($B103,'Unit costs'!$B$72:$F$83,4,FALSE),"")</f>
        <v/>
      </c>
      <c r="D103" s="254"/>
      <c r="E103" s="466">
        <f t="shared" si="4"/>
        <v>0</v>
      </c>
      <c r="F103" s="467"/>
      <c r="G103" s="468"/>
      <c r="H103" s="349" t="str">
        <f>IFERROR(VLOOKUP($B103,'Unit costs'!$B$72:$F$83,5,FALSE)*C103,"")</f>
        <v/>
      </c>
    </row>
    <row r="104" spans="2:12" ht="26.25" customHeight="1" x14ac:dyDescent="0.25">
      <c r="B104" s="255" t="str">
        <f>'Set up'!B20</f>
        <v>Roche COBAS Ampliprep/TaqMan 48</v>
      </c>
      <c r="C104" s="347"/>
      <c r="D104" s="254"/>
      <c r="E104" s="469" t="str">
        <f>'Set up'!B20</f>
        <v>Roche COBAS Ampliprep/TaqMan 48</v>
      </c>
      <c r="F104" s="470"/>
      <c r="G104" s="471"/>
      <c r="H104" s="347"/>
    </row>
    <row r="105" spans="2:12" x14ac:dyDescent="0.25">
      <c r="B105" s="244" t="s">
        <v>274</v>
      </c>
      <c r="C105" s="403">
        <f>IFERROR(VLOOKUP($B105,'Unit costs'!$B$72:$F$83,4,FALSE),"")</f>
        <v>1</v>
      </c>
      <c r="D105" s="254"/>
      <c r="E105" s="466" t="str">
        <f>B105</f>
        <v>Specimen Pre-Extraction kit (SPEX) (box of 50)</v>
      </c>
      <c r="F105" s="467"/>
      <c r="G105" s="468"/>
      <c r="H105" s="349">
        <f>IFERROR(VLOOKUP($B105,'Unit costs'!$B$72:$F$83,5,FALSE)*C105,"")</f>
        <v>6</v>
      </c>
    </row>
    <row r="106" spans="2:12" x14ac:dyDescent="0.25">
      <c r="B106" s="244" t="s">
        <v>275</v>
      </c>
      <c r="C106" s="403">
        <f>IFERROR(VLOOKUP($B106,'Unit costs'!$B$72:$F$83,4,FALSE),"")</f>
        <v>1</v>
      </c>
      <c r="D106" s="254"/>
      <c r="E106" s="466" t="str">
        <f t="shared" ref="E106:E109" si="5">B106</f>
        <v>Sample Preparation Reagent RNA (box of 50)</v>
      </c>
      <c r="F106" s="467"/>
      <c r="G106" s="468"/>
      <c r="H106" s="349">
        <f>IFERROR(VLOOKUP($B106,'Unit costs'!$B$72:$F$83,5,FALSE)*C106,"")</f>
        <v>3</v>
      </c>
    </row>
    <row r="107" spans="2:12" x14ac:dyDescent="0.25">
      <c r="B107" s="244" t="s">
        <v>253</v>
      </c>
      <c r="C107" s="403">
        <f>IFERROR(VLOOKUP($B107,'Unit costs'!$B$72:$F$83,4,FALSE),"")</f>
        <v>1</v>
      </c>
      <c r="D107" s="254"/>
      <c r="E107" s="466" t="str">
        <f t="shared" si="5"/>
        <v>Cobas Ampliprep/Cobas Taqman kits (quantitative) (pack of 48)</v>
      </c>
      <c r="F107" s="467"/>
      <c r="G107" s="468"/>
      <c r="H107" s="349">
        <f>IFERROR(VLOOKUP($B107,'Unit costs'!$B$72:$F$83,5,FALSE)*C107,"")</f>
        <v>10.895833333333334</v>
      </c>
    </row>
    <row r="108" spans="2:12" x14ac:dyDescent="0.25">
      <c r="B108" s="244"/>
      <c r="C108" s="403" t="str">
        <f>IFERROR(VLOOKUP($B108,'Unit costs'!$B$72:$F$83,4,FALSE),"")</f>
        <v/>
      </c>
      <c r="D108" s="254"/>
      <c r="E108" s="466">
        <f t="shared" si="5"/>
        <v>0</v>
      </c>
      <c r="F108" s="467"/>
      <c r="G108" s="468"/>
      <c r="H108" s="349" t="str">
        <f>IFERROR(VLOOKUP($B108,'Unit costs'!$B$72:$F$83,5,FALSE)*C108,"")</f>
        <v/>
      </c>
    </row>
    <row r="109" spans="2:12" x14ac:dyDescent="0.25">
      <c r="B109" s="244"/>
      <c r="C109" s="403" t="str">
        <f>IFERROR(VLOOKUP($B109,'Unit costs'!$B$72:$F$83,4,FALSE),"")</f>
        <v/>
      </c>
      <c r="D109" s="254"/>
      <c r="E109" s="466">
        <f t="shared" si="5"/>
        <v>0</v>
      </c>
      <c r="F109" s="467"/>
      <c r="G109" s="468"/>
      <c r="H109" s="349" t="str">
        <f>IFERROR(VLOOKUP($B109,'Unit costs'!$B$72:$F$83,5,FALSE)*C109,"")</f>
        <v/>
      </c>
    </row>
    <row r="110" spans="2:12" ht="26.25" customHeight="1" x14ac:dyDescent="0.25">
      <c r="B110" s="256" t="str">
        <f>'Set up'!B21</f>
        <v>Roche COBAS Ampliprep/TaqMan 48</v>
      </c>
      <c r="C110" s="356"/>
      <c r="D110" s="147"/>
      <c r="E110" s="469" t="str">
        <f>'Set up'!B21</f>
        <v>Roche COBAS Ampliprep/TaqMan 48</v>
      </c>
      <c r="F110" s="470"/>
      <c r="G110" s="471"/>
      <c r="H110" s="356"/>
      <c r="I110" s="147"/>
      <c r="J110" s="158"/>
      <c r="K110" s="158"/>
      <c r="L110" s="158"/>
    </row>
    <row r="111" spans="2:12" x14ac:dyDescent="0.25">
      <c r="B111" s="244" t="s">
        <v>274</v>
      </c>
      <c r="C111" s="403">
        <f>IFERROR(VLOOKUP($B111,'Unit costs'!$B$72:$F$83,4,FALSE),"")</f>
        <v>1</v>
      </c>
      <c r="D111" s="147"/>
      <c r="E111" s="466" t="str">
        <f>B111</f>
        <v>Specimen Pre-Extraction kit (SPEX) (box of 50)</v>
      </c>
      <c r="F111" s="467"/>
      <c r="G111" s="468"/>
      <c r="H111" s="349">
        <f>IFERROR(VLOOKUP($B111,'Unit costs'!$B$72:$F$83,5,FALSE)*C111,"")</f>
        <v>6</v>
      </c>
      <c r="I111" s="147"/>
      <c r="J111" s="158"/>
      <c r="K111" s="158"/>
      <c r="L111" s="158"/>
    </row>
    <row r="112" spans="2:12" x14ac:dyDescent="0.25">
      <c r="B112" s="244" t="s">
        <v>32</v>
      </c>
      <c r="C112" s="403">
        <f>IFERROR(VLOOKUP($B112,'Unit costs'!$B$72:$F$83,4,FALSE),"")</f>
        <v>1</v>
      </c>
      <c r="D112" s="147"/>
      <c r="E112" s="466" t="str">
        <f t="shared" ref="E112:E115" si="6">B112</f>
        <v>Sample preparation kit (mSample Preparation System DNA) (1 kit = 96 tests)</v>
      </c>
      <c r="F112" s="467"/>
      <c r="G112" s="468"/>
      <c r="H112" s="349">
        <f>IFERROR(VLOOKUP($B112,'Unit costs'!$B$72:$F$83,5,FALSE)*C112,"")</f>
        <v>3</v>
      </c>
      <c r="I112" s="147"/>
      <c r="J112" s="158"/>
      <c r="K112" s="158"/>
      <c r="L112" s="158"/>
    </row>
    <row r="113" spans="2:12" x14ac:dyDescent="0.25">
      <c r="B113" s="244" t="s">
        <v>253</v>
      </c>
      <c r="C113" s="403">
        <f>IFERROR(VLOOKUP($B113,'Unit costs'!$B$72:$F$83,4,FALSE),"")</f>
        <v>1</v>
      </c>
      <c r="D113" s="147"/>
      <c r="E113" s="466" t="str">
        <f t="shared" si="6"/>
        <v>Cobas Ampliprep/Cobas Taqman kits (quantitative) (pack of 48)</v>
      </c>
      <c r="F113" s="467"/>
      <c r="G113" s="468"/>
      <c r="H113" s="349">
        <f>IFERROR(VLOOKUP($B113,'Unit costs'!$B$72:$F$83,5,FALSE)*C113,"")</f>
        <v>10.895833333333334</v>
      </c>
      <c r="I113" s="147"/>
      <c r="J113" s="158"/>
      <c r="K113" s="158"/>
      <c r="L113" s="158"/>
    </row>
    <row r="114" spans="2:12" x14ac:dyDescent="0.25">
      <c r="B114" s="244"/>
      <c r="C114" s="403" t="str">
        <f>IFERROR(VLOOKUP($B114,'Unit costs'!$B$72:$F$83,4,FALSE),"")</f>
        <v/>
      </c>
      <c r="D114" s="147"/>
      <c r="E114" s="466">
        <f t="shared" si="6"/>
        <v>0</v>
      </c>
      <c r="F114" s="467"/>
      <c r="G114" s="468"/>
      <c r="H114" s="349" t="str">
        <f>IFERROR(VLOOKUP($B114,'Unit costs'!$B$72:$F$83,5,FALSE)*C114,"")</f>
        <v/>
      </c>
      <c r="I114" s="147"/>
      <c r="J114" s="158"/>
      <c r="K114" s="158"/>
      <c r="L114" s="158"/>
    </row>
    <row r="115" spans="2:12" x14ac:dyDescent="0.25">
      <c r="B115" s="244"/>
      <c r="C115" s="403" t="str">
        <f>IFERROR(VLOOKUP($B115,'Unit costs'!$B$72:$F$83,4,FALSE),"")</f>
        <v/>
      </c>
      <c r="D115" s="147"/>
      <c r="E115" s="466">
        <f t="shared" si="6"/>
        <v>0</v>
      </c>
      <c r="F115" s="467"/>
      <c r="G115" s="468"/>
      <c r="H115" s="349" t="str">
        <f>IFERROR(VLOOKUP($B115,'Unit costs'!$B$72:$F$83,5,FALSE)*C115,"")</f>
        <v/>
      </c>
      <c r="I115" s="147"/>
      <c r="J115" s="158"/>
      <c r="K115" s="158"/>
      <c r="L115" s="158"/>
    </row>
    <row r="116" spans="2:12" x14ac:dyDescent="0.25">
      <c r="B116" s="147"/>
      <c r="C116" s="147"/>
      <c r="D116" s="147"/>
      <c r="E116" s="147"/>
      <c r="F116" s="147"/>
      <c r="G116" s="147"/>
      <c r="H116" s="147"/>
      <c r="I116" s="147"/>
      <c r="J116" s="158"/>
      <c r="K116" s="158"/>
      <c r="L116" s="158"/>
    </row>
    <row r="117" spans="2:12" x14ac:dyDescent="0.25">
      <c r="B117" s="147"/>
      <c r="C117" s="147"/>
      <c r="D117" s="147"/>
      <c r="E117" s="147"/>
      <c r="F117" s="147"/>
      <c r="G117" s="147"/>
      <c r="H117" s="147"/>
      <c r="I117" s="147"/>
      <c r="J117" s="158"/>
      <c r="K117" s="158"/>
      <c r="L117" s="158"/>
    </row>
    <row r="118" spans="2:12" ht="15.75" thickBot="1" x14ac:dyDescent="0.3">
      <c r="B118" s="475" t="s">
        <v>521</v>
      </c>
      <c r="C118" s="475"/>
      <c r="D118" s="475"/>
      <c r="E118" s="475"/>
      <c r="F118" s="475"/>
      <c r="G118" s="475"/>
    </row>
    <row r="119" spans="2:12" ht="45.75" thickBot="1" x14ac:dyDescent="0.3">
      <c r="B119" s="139" t="s">
        <v>231</v>
      </c>
      <c r="C119" s="247" t="str">
        <f>'Set up'!B18</f>
        <v>Abbott M2000 RealTime</v>
      </c>
      <c r="D119" s="247" t="str">
        <f>'Set up'!B19</f>
        <v>Abbott M2000 RealTime</v>
      </c>
      <c r="E119" s="247" t="str">
        <f>'Set up'!B20</f>
        <v>Roche COBAS Ampliprep/TaqMan 48</v>
      </c>
      <c r="F119" s="247" t="str">
        <f>'Set up'!B21</f>
        <v>Roche COBAS Ampliprep/TaqMan 48</v>
      </c>
    </row>
    <row r="120" spans="2:12" ht="15.75" thickBot="1" x14ac:dyDescent="0.3">
      <c r="B120" s="239" t="s">
        <v>28</v>
      </c>
      <c r="C120" s="402">
        <f>IFERROR(VLOOKUP($B120,'Unit costs'!$B$86:$E$173,4,FALSE),"")</f>
        <v>2</v>
      </c>
      <c r="D120" s="402">
        <f>IFERROR(VLOOKUP($B120,'Unit costs'!$B$86:$E$173,4,FALSE),"")</f>
        <v>2</v>
      </c>
      <c r="E120" s="402">
        <f>IFERROR(VLOOKUP($B120,'Unit costs'!$B$86:$E$173,4,FALSE),"")</f>
        <v>2</v>
      </c>
      <c r="F120" s="402">
        <f>IFERROR(VLOOKUP($B120,'Unit costs'!$B$86:$E$173,4,FALSE),"")</f>
        <v>2</v>
      </c>
    </row>
    <row r="121" spans="2:12" ht="15.75" thickBot="1" x14ac:dyDescent="0.3">
      <c r="B121" s="184" t="s">
        <v>246</v>
      </c>
      <c r="C121" s="402">
        <f>IFERROR(VLOOKUP($B121,'Unit costs'!$B$86:$E$173,4,FALSE),"")</f>
        <v>5.0000000000000001E-3</v>
      </c>
      <c r="D121" s="402">
        <f>IFERROR(VLOOKUP($B121,'Unit costs'!$B$86:$E$173,4,FALSE),"")</f>
        <v>5.0000000000000001E-3</v>
      </c>
      <c r="E121" s="402">
        <f>IFERROR(VLOOKUP($B121,'Unit costs'!$B$86:$E$173,4,FALSE),"")</f>
        <v>5.0000000000000001E-3</v>
      </c>
      <c r="F121" s="402">
        <f>IFERROR(VLOOKUP($B121,'Unit costs'!$B$86:$E$173,4,FALSE),"")</f>
        <v>5.0000000000000001E-3</v>
      </c>
    </row>
    <row r="122" spans="2:12" ht="15.75" thickBot="1" x14ac:dyDescent="0.3">
      <c r="B122" s="184" t="s">
        <v>240</v>
      </c>
      <c r="C122" s="402">
        <f>IFERROR(VLOOKUP($B122,'Unit costs'!$B$86:$E$173,4,FALSE),"")</f>
        <v>1.0416666666666666E-2</v>
      </c>
      <c r="D122" s="402">
        <f>IFERROR(VLOOKUP($B122,'Unit costs'!$B$86:$E$173,4,FALSE),"")</f>
        <v>1.0416666666666666E-2</v>
      </c>
      <c r="E122" s="402">
        <f>IFERROR(VLOOKUP($B122,'Unit costs'!$B$86:$E$173,4,FALSE),"")</f>
        <v>1.0416666666666666E-2</v>
      </c>
      <c r="F122" s="402">
        <f>IFERROR(VLOOKUP($B122,'Unit costs'!$B$86:$E$173,4,FALSE),"")</f>
        <v>1.0416666666666666E-2</v>
      </c>
    </row>
    <row r="123" spans="2:12" ht="15.75" thickBot="1" x14ac:dyDescent="0.3">
      <c r="B123" s="184"/>
      <c r="C123" s="402" t="str">
        <f>IFERROR(VLOOKUP($B123,'Unit costs'!$B$86:$E$173,4,FALSE),"")</f>
        <v/>
      </c>
      <c r="D123" s="402" t="str">
        <f>IFERROR(VLOOKUP($B123,'Unit costs'!$B$86:$E$173,4,FALSE),"")</f>
        <v/>
      </c>
      <c r="E123" s="402" t="str">
        <f>IFERROR(VLOOKUP($B123,'Unit costs'!$B$86:$E$173,4,FALSE),"")</f>
        <v/>
      </c>
      <c r="F123" s="402" t="str">
        <f>IFERROR(VLOOKUP($B123,'Unit costs'!$B$86:$E$173,4,FALSE),"")</f>
        <v/>
      </c>
    </row>
    <row r="124" spans="2:12" ht="15.75" thickBot="1" x14ac:dyDescent="0.3">
      <c r="B124" s="184" t="s">
        <v>242</v>
      </c>
      <c r="C124" s="402">
        <f>IFERROR(VLOOKUP($B124,'Unit costs'!$B$86:$E$173,4,FALSE),"")</f>
        <v>2.8735632183908045E-5</v>
      </c>
      <c r="D124" s="402">
        <f>IFERROR(VLOOKUP($B124,'Unit costs'!$B$86:$E$173,4,FALSE),"")</f>
        <v>2.8735632183908045E-5</v>
      </c>
      <c r="E124" s="402">
        <f>IFERROR(VLOOKUP($B124,'Unit costs'!$B$86:$E$173,4,FALSE),"")</f>
        <v>2.8735632183908045E-5</v>
      </c>
      <c r="F124" s="402">
        <f>IFERROR(VLOOKUP($B124,'Unit costs'!$B$86:$E$173,4,FALSE),"")</f>
        <v>2.8735632183908045E-5</v>
      </c>
    </row>
    <row r="125" spans="2:12" ht="15.75" thickBot="1" x14ac:dyDescent="0.3">
      <c r="B125" s="184" t="s">
        <v>252</v>
      </c>
      <c r="C125" s="402">
        <f>IFERROR(VLOOKUP($B125,'Unit costs'!$B$86:$E$173,4,FALSE),"")</f>
        <v>1</v>
      </c>
      <c r="D125" s="402">
        <f>IFERROR(VLOOKUP($B125,'Unit costs'!$B$86:$E$173,4,FALSE),"")</f>
        <v>1</v>
      </c>
      <c r="E125" s="402">
        <f>IFERROR(VLOOKUP($B125,'Unit costs'!$B$86:$E$173,4,FALSE),"")</f>
        <v>1</v>
      </c>
      <c r="F125" s="402">
        <f>IFERROR(VLOOKUP($B125,'Unit costs'!$B$86:$E$173,4,FALSE),"")</f>
        <v>1</v>
      </c>
    </row>
    <row r="126" spans="2:12" ht="16.149999999999999" customHeight="1" thickBot="1" x14ac:dyDescent="0.3">
      <c r="B126" s="184" t="s">
        <v>278</v>
      </c>
      <c r="C126" s="402">
        <f>IFERROR(VLOOKUP($B126,'Unit costs'!$B$86:$E$173,4,FALSE),"")</f>
        <v>1</v>
      </c>
      <c r="D126" s="402">
        <f>IFERROR(VLOOKUP($B126,'Unit costs'!$B$86:$E$173,4,FALSE),"")</f>
        <v>1</v>
      </c>
      <c r="E126" s="402">
        <f>IFERROR(VLOOKUP($B126,'Unit costs'!$B$86:$E$173,4,FALSE),"")</f>
        <v>1</v>
      </c>
      <c r="F126" s="402">
        <f>IFERROR(VLOOKUP($B126,'Unit costs'!$B$86:$E$173,4,FALSE),"")</f>
        <v>1</v>
      </c>
    </row>
    <row r="127" spans="2:12" ht="15.75" thickBot="1" x14ac:dyDescent="0.3">
      <c r="B127" s="184" t="s">
        <v>290</v>
      </c>
      <c r="C127" s="402">
        <f>IFERROR(VLOOKUP($B127,'Unit costs'!$B$86:$E$173,4,FALSE),"")</f>
        <v>5.0000000000000001E-4</v>
      </c>
      <c r="D127" s="402">
        <f>IFERROR(VLOOKUP($B127,'Unit costs'!$B$86:$E$173,4,FALSE),"")</f>
        <v>5.0000000000000001E-4</v>
      </c>
      <c r="E127" s="402">
        <f>IFERROR(VLOOKUP($B127,'Unit costs'!$B$86:$E$173,4,FALSE),"")</f>
        <v>5.0000000000000001E-4</v>
      </c>
      <c r="F127" s="402">
        <f>IFERROR(VLOOKUP($B127,'Unit costs'!$B$86:$E$173,4,FALSE),"")</f>
        <v>5.0000000000000001E-4</v>
      </c>
    </row>
    <row r="128" spans="2:12" ht="15.75" thickBot="1" x14ac:dyDescent="0.3">
      <c r="B128" s="184" t="s">
        <v>292</v>
      </c>
      <c r="C128" s="402">
        <f>IFERROR(VLOOKUP($B128,'Unit costs'!$B$86:$E$173,4,FALSE),"")</f>
        <v>1</v>
      </c>
      <c r="D128" s="402">
        <f>IFERROR(VLOOKUP($B128,'Unit costs'!$B$86:$E$173,4,FALSE),"")</f>
        <v>1</v>
      </c>
      <c r="E128" s="402">
        <f>IFERROR(VLOOKUP($B128,'Unit costs'!$B$86:$E$173,4,FALSE),"")</f>
        <v>1</v>
      </c>
      <c r="F128" s="402">
        <f>IFERROR(VLOOKUP($B128,'Unit costs'!$B$86:$E$173,4,FALSE),"")</f>
        <v>1</v>
      </c>
    </row>
    <row r="129" spans="2:6" ht="15.75" thickBot="1" x14ac:dyDescent="0.3">
      <c r="B129" s="184" t="s">
        <v>251</v>
      </c>
      <c r="C129" s="402">
        <f>IFERROR(VLOOKUP($B129,'Unit costs'!$B$86:$E$173,4,FALSE),"")</f>
        <v>1</v>
      </c>
      <c r="D129" s="402">
        <f>IFERROR(VLOOKUP($B129,'Unit costs'!$B$86:$E$173,4,FALSE),"")</f>
        <v>1</v>
      </c>
      <c r="E129" s="402">
        <f>IFERROR(VLOOKUP($B129,'Unit costs'!$B$86:$E$173,4,FALSE),"")</f>
        <v>1</v>
      </c>
      <c r="F129" s="402">
        <f>IFERROR(VLOOKUP($B129,'Unit costs'!$B$86:$E$173,4,FALSE),"")</f>
        <v>1</v>
      </c>
    </row>
    <row r="130" spans="2:6" ht="15.75" thickBot="1" x14ac:dyDescent="0.3">
      <c r="B130" s="184"/>
      <c r="C130" s="402" t="str">
        <f>IFERROR(VLOOKUP($B130,'Unit costs'!$B$86:$E$173,4,FALSE),"")</f>
        <v/>
      </c>
      <c r="D130" s="402" t="str">
        <f>IFERROR(VLOOKUP($B130,'Unit costs'!$B$86:$E$173,4,FALSE),"")</f>
        <v/>
      </c>
      <c r="E130" s="402" t="str">
        <f>IFERROR(VLOOKUP($B130,'Unit costs'!$B$86:$E$173,4,FALSE),"")</f>
        <v/>
      </c>
      <c r="F130" s="402" t="str">
        <f>IFERROR(VLOOKUP($B130,'Unit costs'!$B$86:$E$173,4,FALSE),"")</f>
        <v/>
      </c>
    </row>
    <row r="131" spans="2:6" ht="15.75" thickBot="1" x14ac:dyDescent="0.3">
      <c r="B131" s="184"/>
      <c r="C131" s="402" t="str">
        <f>IFERROR(VLOOKUP($B131,'Unit costs'!$B$86:$E$173,4,FALSE),"")</f>
        <v/>
      </c>
      <c r="D131" s="402" t="str">
        <f>IFERROR(VLOOKUP($B131,'Unit costs'!$B$86:$E$173,4,FALSE),"")</f>
        <v/>
      </c>
      <c r="E131" s="402" t="str">
        <f>IFERROR(VLOOKUP($B131,'Unit costs'!$B$86:$E$173,4,FALSE),"")</f>
        <v/>
      </c>
      <c r="F131" s="402" t="str">
        <f>IFERROR(VLOOKUP($B131,'Unit costs'!$B$86:$E$173,4,FALSE),"")</f>
        <v/>
      </c>
    </row>
    <row r="132" spans="2:6" ht="15.75" thickBot="1" x14ac:dyDescent="0.3">
      <c r="B132" s="240"/>
      <c r="C132" s="402" t="str">
        <f>IFERROR(VLOOKUP($B132,'Unit costs'!$B$86:$E$173,4,FALSE),"")</f>
        <v/>
      </c>
      <c r="D132" s="402" t="str">
        <f>IFERROR(VLOOKUP($B132,'Unit costs'!$B$86:$E$173,4,FALSE),"")</f>
        <v/>
      </c>
      <c r="E132" s="402" t="str">
        <f>IFERROR(VLOOKUP($B132,'Unit costs'!$B$86:$E$173,4,FALSE),"")</f>
        <v/>
      </c>
      <c r="F132" s="402" t="str">
        <f>IFERROR(VLOOKUP($B132,'Unit costs'!$B$86:$E$173,4,FALSE),"")</f>
        <v/>
      </c>
    </row>
    <row r="133" spans="2:6" s="158" customFormat="1" ht="15.75" thickBot="1" x14ac:dyDescent="0.3">
      <c r="B133" s="240" t="s">
        <v>92</v>
      </c>
      <c r="C133" s="402" t="str">
        <f>IFERROR(VLOOKUP($B133,'Unit costs'!$B$86:$E$173,4,FALSE),"")</f>
        <v/>
      </c>
      <c r="D133" s="402" t="str">
        <f>IFERROR(VLOOKUP($B133,'Unit costs'!$B$86:$E$173,4,FALSE),"")</f>
        <v/>
      </c>
      <c r="E133" s="402" t="str">
        <f>IFERROR(VLOOKUP($B133,'Unit costs'!$B$86:$E$173,4,FALSE),"")</f>
        <v/>
      </c>
      <c r="F133" s="402" t="str">
        <f>IFERROR(VLOOKUP($B133,'Unit costs'!$B$86:$E$173,4,FALSE),"")</f>
        <v/>
      </c>
    </row>
    <row r="134" spans="2:6" s="158" customFormat="1" ht="15.75" thickBot="1" x14ac:dyDescent="0.3">
      <c r="B134" s="184" t="s">
        <v>92</v>
      </c>
      <c r="C134" s="402" t="str">
        <f>IFERROR(VLOOKUP($B134,'Unit costs'!$B$86:$E$173,4,FALSE),"")</f>
        <v/>
      </c>
      <c r="D134" s="402" t="str">
        <f>IFERROR(VLOOKUP($B134,'Unit costs'!$B$86:$E$173,4,FALSE),"")</f>
        <v/>
      </c>
      <c r="E134" s="402" t="str">
        <f>IFERROR(VLOOKUP($B134,'Unit costs'!$B$86:$E$173,4,FALSE),"")</f>
        <v/>
      </c>
      <c r="F134" s="402" t="str">
        <f>IFERROR(VLOOKUP($B134,'Unit costs'!$B$86:$E$173,4,FALSE),"")</f>
        <v/>
      </c>
    </row>
    <row r="135" spans="2:6" s="158" customFormat="1" ht="15.75" thickBot="1" x14ac:dyDescent="0.3">
      <c r="B135" s="184" t="s">
        <v>92</v>
      </c>
      <c r="C135" s="402" t="str">
        <f>IFERROR(VLOOKUP($B135,'Unit costs'!$B$86:$E$173,4,FALSE),"")</f>
        <v/>
      </c>
      <c r="D135" s="402" t="str">
        <f>IFERROR(VLOOKUP($B135,'Unit costs'!$B$86:$E$173,4,FALSE),"")</f>
        <v/>
      </c>
      <c r="E135" s="402" t="str">
        <f>IFERROR(VLOOKUP($B135,'Unit costs'!$B$86:$E$173,4,FALSE),"")</f>
        <v/>
      </c>
      <c r="F135" s="402" t="str">
        <f>IFERROR(VLOOKUP($B135,'Unit costs'!$B$86:$E$173,4,FALSE),"")</f>
        <v/>
      </c>
    </row>
    <row r="136" spans="2:6" s="158" customFormat="1" ht="15.75" thickBot="1" x14ac:dyDescent="0.3">
      <c r="B136" s="240" t="s">
        <v>92</v>
      </c>
      <c r="C136" s="402" t="str">
        <f>IFERROR(VLOOKUP($B136,'Unit costs'!$B$86:$E$173,4,FALSE),"")</f>
        <v/>
      </c>
      <c r="D136" s="402" t="str">
        <f>IFERROR(VLOOKUP($B136,'Unit costs'!$B$86:$E$173,4,FALSE),"")</f>
        <v/>
      </c>
      <c r="E136" s="402" t="str">
        <f>IFERROR(VLOOKUP($B136,'Unit costs'!$B$86:$E$173,4,FALSE),"")</f>
        <v/>
      </c>
      <c r="F136" s="402" t="str">
        <f>IFERROR(VLOOKUP($B136,'Unit costs'!$B$86:$E$173,4,FALSE),"")</f>
        <v/>
      </c>
    </row>
    <row r="137" spans="2:6" s="158" customFormat="1" ht="15.75" thickBot="1" x14ac:dyDescent="0.3">
      <c r="B137" s="184" t="s">
        <v>92</v>
      </c>
      <c r="C137" s="402" t="str">
        <f>IFERROR(VLOOKUP($B137,'Unit costs'!$B$86:$E$173,4,FALSE),"")</f>
        <v/>
      </c>
      <c r="D137" s="402" t="str">
        <f>IFERROR(VLOOKUP($B137,'Unit costs'!$B$86:$E$173,4,FALSE),"")</f>
        <v/>
      </c>
      <c r="E137" s="402" t="str">
        <f>IFERROR(VLOOKUP($B137,'Unit costs'!$B$86:$E$173,4,FALSE),"")</f>
        <v/>
      </c>
      <c r="F137" s="402" t="str">
        <f>IFERROR(VLOOKUP($B137,'Unit costs'!$B$86:$E$173,4,FALSE),"")</f>
        <v/>
      </c>
    </row>
    <row r="138" spans="2:6" s="158" customFormat="1" ht="15.75" thickBot="1" x14ac:dyDescent="0.3">
      <c r="B138" s="184" t="s">
        <v>92</v>
      </c>
      <c r="C138" s="402" t="str">
        <f>IFERROR(VLOOKUP($B138,'Unit costs'!$B$86:$E$173,4,FALSE),"")</f>
        <v/>
      </c>
      <c r="D138" s="402" t="str">
        <f>IFERROR(VLOOKUP($B138,'Unit costs'!$B$86:$E$173,4,FALSE),"")</f>
        <v/>
      </c>
      <c r="E138" s="402" t="str">
        <f>IFERROR(VLOOKUP($B138,'Unit costs'!$B$86:$E$173,4,FALSE),"")</f>
        <v/>
      </c>
      <c r="F138" s="402" t="str">
        <f>IFERROR(VLOOKUP($B138,'Unit costs'!$B$86:$E$173,4,FALSE),"")</f>
        <v/>
      </c>
    </row>
    <row r="139" spans="2:6" s="158" customFormat="1" x14ac:dyDescent="0.25">
      <c r="B139" s="184" t="s">
        <v>92</v>
      </c>
      <c r="C139" s="402" t="str">
        <f>IFERROR(VLOOKUP($B139,'Unit costs'!$B$86:$E$173,4,FALSE),"")</f>
        <v/>
      </c>
      <c r="D139" s="402" t="str">
        <f>IFERROR(VLOOKUP($B139,'Unit costs'!$B$86:$E$173,4,FALSE),"")</f>
        <v/>
      </c>
      <c r="E139" s="402" t="str">
        <f>IFERROR(VLOOKUP($B139,'Unit costs'!$B$86:$E$173,4,FALSE),"")</f>
        <v/>
      </c>
      <c r="F139" s="402" t="str">
        <f>IFERROR(VLOOKUP($B139,'Unit costs'!$B$86:$E$173,4,FALSE),"")</f>
        <v/>
      </c>
    </row>
    <row r="140" spans="2:6" s="158" customFormat="1" x14ac:dyDescent="0.25">
      <c r="B140" s="207"/>
      <c r="C140" s="207"/>
      <c r="D140" s="207"/>
      <c r="E140" s="207"/>
      <c r="F140" s="207"/>
    </row>
    <row r="141" spans="2:6" s="158" customFormat="1" ht="15.75" thickBot="1" x14ac:dyDescent="0.3">
      <c r="B141" s="446" t="s">
        <v>511</v>
      </c>
      <c r="C141" s="446"/>
      <c r="D141" s="446"/>
      <c r="E141" s="446"/>
      <c r="F141" s="446"/>
    </row>
    <row r="142" spans="2:6" s="158" customFormat="1" ht="15.75" thickBot="1" x14ac:dyDescent="0.3">
      <c r="B142" s="241" t="str">
        <f t="shared" ref="B142:B161" si="7">B120</f>
        <v>Gloves (powder free) x 100 gloves</v>
      </c>
      <c r="C142" s="353">
        <f>IFERROR(VLOOKUP($B142,'Unit costs'!$B$86:$F$173,5,FALSE)*C120,"")</f>
        <v>0.31559999999999999</v>
      </c>
      <c r="D142" s="353">
        <f>IFERROR(VLOOKUP($B142,'Unit costs'!$B$86:$F$173,5,FALSE)*D120,"")</f>
        <v>0.31559999999999999</v>
      </c>
      <c r="E142" s="353">
        <f>IFERROR(VLOOKUP($B142,'Unit costs'!$B$86:$F$173,5,FALSE)*E120,"")</f>
        <v>0.31559999999999999</v>
      </c>
      <c r="F142" s="353">
        <f>IFERROR(VLOOKUP($B142,'Unit costs'!$B$86:$F$173,5,FALSE)*F120,"")</f>
        <v>0.31559999999999999</v>
      </c>
    </row>
    <row r="143" spans="2:6" s="158" customFormat="1" ht="15.75" thickBot="1" x14ac:dyDescent="0.3">
      <c r="B143" s="242" t="str">
        <f t="shared" si="7"/>
        <v>Biohazard bags. (Red and black) (100 per case)</v>
      </c>
      <c r="C143" s="353">
        <f>IFERROR(VLOOKUP($B143,'Unit costs'!$B$86:$F$173,5,FALSE)*C121,"")</f>
        <v>8.7500000000000009E-6</v>
      </c>
      <c r="D143" s="353">
        <f>IFERROR(VLOOKUP($B143,'Unit costs'!$B$86:$F$173,5,FALSE)*D121,"")</f>
        <v>8.7500000000000009E-6</v>
      </c>
      <c r="E143" s="353">
        <f>IFERROR(VLOOKUP($B143,'Unit costs'!$B$86:$F$173,5,FALSE)*E121,"")</f>
        <v>8.7500000000000009E-6</v>
      </c>
      <c r="F143" s="353">
        <f>IFERROR(VLOOKUP($B143,'Unit costs'!$B$86:$F$173,5,FALSE)*F121,"")</f>
        <v>8.7500000000000009E-6</v>
      </c>
    </row>
    <row r="144" spans="2:6" s="158" customFormat="1" ht="15.75" thickBot="1" x14ac:dyDescent="0.3">
      <c r="B144" s="242" t="str">
        <f t="shared" si="7"/>
        <v>Biohazard containers (unit of 1)</v>
      </c>
      <c r="C144" s="353">
        <f>IFERROR(VLOOKUP($B144,'Unit costs'!$B$86:$F$173,5,FALSE)*C122,"")</f>
        <v>1.8692708333333333E-5</v>
      </c>
      <c r="D144" s="353">
        <f>IFERROR(VLOOKUP($B144,'Unit costs'!$B$86:$F$173,5,FALSE)*D122,"")</f>
        <v>1.8692708333333333E-5</v>
      </c>
      <c r="E144" s="353">
        <f>IFERROR(VLOOKUP($B144,'Unit costs'!$B$86:$F$173,5,FALSE)*E122,"")</f>
        <v>1.8692708333333333E-5</v>
      </c>
      <c r="F144" s="353">
        <f>IFERROR(VLOOKUP($B144,'Unit costs'!$B$86:$F$173,5,FALSE)*F122,"")</f>
        <v>1.8692708333333333E-5</v>
      </c>
    </row>
    <row r="145" spans="2:7" s="158" customFormat="1" ht="15.75" thickBot="1" x14ac:dyDescent="0.3">
      <c r="B145" s="242">
        <f t="shared" si="7"/>
        <v>0</v>
      </c>
      <c r="C145" s="353" t="str">
        <f>IFERROR(VLOOKUP($B145,'Unit costs'!$B$86:$F$173,5,FALSE)*C123,"")</f>
        <v/>
      </c>
      <c r="D145" s="353" t="str">
        <f>IFERROR(VLOOKUP($B145,'Unit costs'!$B$86:$F$173,5,FALSE)*D123,"")</f>
        <v/>
      </c>
      <c r="E145" s="353" t="str">
        <f>IFERROR(VLOOKUP($B145,'Unit costs'!$B$86:$F$173,5,FALSE)*E123,"")</f>
        <v/>
      </c>
      <c r="F145" s="353" t="str">
        <f>IFERROR(VLOOKUP($B145,'Unit costs'!$B$86:$F$173,5,FALSE)*F123,"")</f>
        <v/>
      </c>
    </row>
    <row r="146" spans="2:7" s="158" customFormat="1" ht="15.75" thickBot="1" x14ac:dyDescent="0.3">
      <c r="B146" s="242" t="str">
        <f t="shared" si="7"/>
        <v>Laboratory coats (non-disposable) (Unit of 1)</v>
      </c>
      <c r="C146" s="353">
        <f>IFERROR(VLOOKUP($B146,'Unit costs'!$B$86:$F$173,5,FALSE)*C124,"")</f>
        <v>2.0643413925221296E-8</v>
      </c>
      <c r="D146" s="353">
        <f>IFERROR(VLOOKUP($B146,'Unit costs'!$B$86:$F$173,5,FALSE)*D124,"")</f>
        <v>2.0643413925221296E-8</v>
      </c>
      <c r="E146" s="353">
        <f>IFERROR(VLOOKUP($B146,'Unit costs'!$B$86:$F$173,5,FALSE)*E124,"")</f>
        <v>2.0643413925221296E-8</v>
      </c>
      <c r="F146" s="353">
        <f>IFERROR(VLOOKUP($B146,'Unit costs'!$B$86:$F$173,5,FALSE)*F124,"")</f>
        <v>2.0643413925221296E-8</v>
      </c>
    </row>
    <row r="147" spans="2:7" s="158" customFormat="1" ht="15.75" thickBot="1" x14ac:dyDescent="0.3">
      <c r="B147" s="242" t="str">
        <f t="shared" si="7"/>
        <v xml:space="preserve">Cryovials (screw cap 2ml micro tubes) (pack of 1000) </v>
      </c>
      <c r="C147" s="353">
        <f>IFERROR(VLOOKUP($B147,'Unit costs'!$B$86:$F$173,5,FALSE)*C125,"")</f>
        <v>0.125</v>
      </c>
      <c r="D147" s="353">
        <f>IFERROR(VLOOKUP($B147,'Unit costs'!$B$86:$F$173,5,FALSE)*D125,"")</f>
        <v>0.125</v>
      </c>
      <c r="E147" s="353">
        <f>IFERROR(VLOOKUP($B147,'Unit costs'!$B$86:$F$173,5,FALSE)*E125,"")</f>
        <v>0.125</v>
      </c>
      <c r="F147" s="353">
        <f>IFERROR(VLOOKUP($B147,'Unit costs'!$B$86:$F$173,5,FALSE)*F125,"")</f>
        <v>0.125</v>
      </c>
    </row>
    <row r="148" spans="2:7" s="158" customFormat="1" ht="15.75" thickBot="1" x14ac:dyDescent="0.3">
      <c r="B148" s="242" t="str">
        <f t="shared" si="7"/>
        <v>1000µl Eppendorf (TECAN) disposable Tips (box of 2304)</v>
      </c>
      <c r="C148" s="353">
        <f>IFERROR(VLOOKUP($B148,'Unit costs'!$B$86:$F$173,5,FALSE)*C126,"")</f>
        <v>0.16536458333333334</v>
      </c>
      <c r="D148" s="353">
        <f>IFERROR(VLOOKUP($B148,'Unit costs'!$B$86:$F$173,5,FALSE)*D126,"")</f>
        <v>0.16536458333333334</v>
      </c>
      <c r="E148" s="353">
        <f>IFERROR(VLOOKUP($B148,'Unit costs'!$B$86:$F$173,5,FALSE)*E126,"")</f>
        <v>0.16536458333333334</v>
      </c>
      <c r="F148" s="353">
        <f>IFERROR(VLOOKUP($B148,'Unit costs'!$B$86:$F$173,5,FALSE)*F126,"")</f>
        <v>0.16536458333333334</v>
      </c>
    </row>
    <row r="149" spans="2:7" s="158" customFormat="1" ht="15.75" thickBot="1" x14ac:dyDescent="0.3">
      <c r="B149" s="242" t="str">
        <f t="shared" si="7"/>
        <v>cryopen (pack of 5)</v>
      </c>
      <c r="C149" s="353">
        <f>IFERROR(VLOOKUP($B149,'Unit costs'!$B$86:$F$173,5,FALSE)*C127,"")</f>
        <v>1.232741617357E-6</v>
      </c>
      <c r="D149" s="353">
        <f>IFERROR(VLOOKUP($B149,'Unit costs'!$B$86:$F$173,5,FALSE)*D127,"")</f>
        <v>1.232741617357E-6</v>
      </c>
      <c r="E149" s="353">
        <f>IFERROR(VLOOKUP($B149,'Unit costs'!$B$86:$F$173,5,FALSE)*E127,"")</f>
        <v>1.232741617357E-6</v>
      </c>
      <c r="F149" s="353">
        <f>IFERROR(VLOOKUP($B149,'Unit costs'!$B$86:$F$173,5,FALSE)*F127,"")</f>
        <v>1.232741617357E-6</v>
      </c>
    </row>
    <row r="150" spans="2:7" s="158" customFormat="1" ht="15.75" thickBot="1" x14ac:dyDescent="0.3">
      <c r="B150" s="242" t="str">
        <f t="shared" si="7"/>
        <v>Tube, Micro-tube sarstedt cat#72.693.005 (pack of 100)</v>
      </c>
      <c r="C150" s="353">
        <f>IFERROR(VLOOKUP($B150,'Unit costs'!$B$86:$F$173,5,FALSE)*C128,"")</f>
        <v>6.2130177514792891E-2</v>
      </c>
      <c r="D150" s="353">
        <f>IFERROR(VLOOKUP($B150,'Unit costs'!$B$86:$F$173,5,FALSE)*D128,"")</f>
        <v>6.2130177514792891E-2</v>
      </c>
      <c r="E150" s="353">
        <f>IFERROR(VLOOKUP($B150,'Unit costs'!$B$86:$F$173,5,FALSE)*E128,"")</f>
        <v>6.2130177514792891E-2</v>
      </c>
      <c r="F150" s="353">
        <f>IFERROR(VLOOKUP($B150,'Unit costs'!$B$86:$F$173,5,FALSE)*F128,"")</f>
        <v>6.2130177514792891E-2</v>
      </c>
    </row>
    <row r="151" spans="2:7" s="158" customFormat="1" ht="15.75" thickBot="1" x14ac:dyDescent="0.3">
      <c r="B151" s="242" t="str">
        <f t="shared" si="7"/>
        <v>Serological pipettes (3ml) (box of 480)</v>
      </c>
      <c r="C151" s="353">
        <f>IFERROR(VLOOKUP($B151,'Unit costs'!$B$86:$F$173,5,FALSE)*C129,"")</f>
        <v>5.8333333333333334E-2</v>
      </c>
      <c r="D151" s="353">
        <f>IFERROR(VLOOKUP($B151,'Unit costs'!$B$86:$F$173,5,FALSE)*D129,"")</f>
        <v>5.8333333333333334E-2</v>
      </c>
      <c r="E151" s="353">
        <f>IFERROR(VLOOKUP($B151,'Unit costs'!$B$86:$F$173,5,FALSE)*E129,"")</f>
        <v>5.8333333333333334E-2</v>
      </c>
      <c r="F151" s="353">
        <f>IFERROR(VLOOKUP($B151,'Unit costs'!$B$86:$F$173,5,FALSE)*F129,"")</f>
        <v>5.8333333333333334E-2</v>
      </c>
    </row>
    <row r="152" spans="2:7" s="158" customFormat="1" ht="15.75" thickBot="1" x14ac:dyDescent="0.3">
      <c r="B152" s="242">
        <f t="shared" si="7"/>
        <v>0</v>
      </c>
      <c r="C152" s="353" t="str">
        <f>IFERROR(VLOOKUP($B152,'Unit costs'!$B$86:$F$173,5,FALSE)*C130,"")</f>
        <v/>
      </c>
      <c r="D152" s="353" t="str">
        <f>IFERROR(VLOOKUP($B152,'Unit costs'!$B$86:$F$173,5,FALSE)*D130,"")</f>
        <v/>
      </c>
      <c r="E152" s="353" t="str">
        <f>IFERROR(VLOOKUP($B152,'Unit costs'!$B$86:$F$173,5,FALSE)*E130,"")</f>
        <v/>
      </c>
      <c r="F152" s="353" t="str">
        <f>IFERROR(VLOOKUP($B152,'Unit costs'!$B$86:$F$173,5,FALSE)*F130,"")</f>
        <v/>
      </c>
    </row>
    <row r="153" spans="2:7" s="158" customFormat="1" ht="15.75" thickBot="1" x14ac:dyDescent="0.3">
      <c r="B153" s="242">
        <f t="shared" si="7"/>
        <v>0</v>
      </c>
      <c r="C153" s="353" t="str">
        <f>IFERROR(VLOOKUP($B153,'Unit costs'!$B$86:$F$173,5,FALSE)*C131,"")</f>
        <v/>
      </c>
      <c r="D153" s="353" t="str">
        <f>IFERROR(VLOOKUP($B153,'Unit costs'!$B$86:$F$173,5,FALSE)*D131,"")</f>
        <v/>
      </c>
      <c r="E153" s="353" t="str">
        <f>IFERROR(VLOOKUP($B153,'Unit costs'!$B$86:$F$173,5,FALSE)*E131,"")</f>
        <v/>
      </c>
      <c r="F153" s="353" t="str">
        <f>IFERROR(VLOOKUP($B153,'Unit costs'!$B$86:$F$173,5,FALSE)*F131,"")</f>
        <v/>
      </c>
    </row>
    <row r="154" spans="2:7" s="158" customFormat="1" ht="15.75" thickBot="1" x14ac:dyDescent="0.3">
      <c r="B154" s="243">
        <f t="shared" si="7"/>
        <v>0</v>
      </c>
      <c r="C154" s="353" t="str">
        <f>IFERROR(VLOOKUP($B154,'Unit costs'!$B$86:$F$173,5,FALSE)*C132,"")</f>
        <v/>
      </c>
      <c r="D154" s="353" t="str">
        <f>IFERROR(VLOOKUP($B154,'Unit costs'!$B$86:$F$173,5,FALSE)*D132,"")</f>
        <v/>
      </c>
      <c r="E154" s="353" t="str">
        <f>IFERROR(VLOOKUP($B154,'Unit costs'!$B$86:$F$173,5,FALSE)*E132,"")</f>
        <v/>
      </c>
      <c r="F154" s="353" t="str">
        <f>IFERROR(VLOOKUP($B154,'Unit costs'!$B$86:$F$173,5,FALSE)*F132,"")</f>
        <v/>
      </c>
    </row>
    <row r="155" spans="2:7" s="158" customFormat="1" ht="15.75" thickBot="1" x14ac:dyDescent="0.3">
      <c r="B155" s="242" t="str">
        <f t="shared" si="7"/>
        <v>Other items</v>
      </c>
      <c r="C155" s="353" t="str">
        <f>IFERROR(VLOOKUP($B155,'Unit costs'!$B$86:$F$173,5,FALSE)*C133,"")</f>
        <v/>
      </c>
      <c r="D155" s="353" t="str">
        <f>IFERROR(VLOOKUP($B155,'Unit costs'!$B$86:$F$173,5,FALSE)*D133,"")</f>
        <v/>
      </c>
      <c r="E155" s="353" t="str">
        <f>IFERROR(VLOOKUP($B155,'Unit costs'!$B$86:$F$173,5,FALSE)*E133,"")</f>
        <v/>
      </c>
      <c r="F155" s="353" t="str">
        <f>IFERROR(VLOOKUP($B155,'Unit costs'!$B$86:$F$173,5,FALSE)*F133,"")</f>
        <v/>
      </c>
    </row>
    <row r="156" spans="2:7" ht="15.75" thickBot="1" x14ac:dyDescent="0.3">
      <c r="B156" s="242" t="str">
        <f t="shared" si="7"/>
        <v>Other items</v>
      </c>
      <c r="C156" s="353" t="str">
        <f>IFERROR(VLOOKUP($B156,'Unit costs'!$B$86:$F$173,5,FALSE)*C134,"")</f>
        <v/>
      </c>
      <c r="D156" s="353" t="str">
        <f>IFERROR(VLOOKUP($B156,'Unit costs'!$B$86:$F$173,5,FALSE)*D134,"")</f>
        <v/>
      </c>
      <c r="E156" s="353" t="str">
        <f>IFERROR(VLOOKUP($B156,'Unit costs'!$B$86:$F$173,5,FALSE)*E134,"")</f>
        <v/>
      </c>
      <c r="F156" s="353" t="str">
        <f>IFERROR(VLOOKUP($B156,'Unit costs'!$B$86:$F$173,5,FALSE)*F134,"")</f>
        <v/>
      </c>
    </row>
    <row r="157" spans="2:7" ht="18" customHeight="1" thickBot="1" x14ac:dyDescent="0.3">
      <c r="B157" s="242" t="str">
        <f t="shared" si="7"/>
        <v>Other items</v>
      </c>
      <c r="C157" s="353" t="str">
        <f>IFERROR(VLOOKUP($B157,'Unit costs'!$B$86:$F$173,5,FALSE)*C135,"")</f>
        <v/>
      </c>
      <c r="D157" s="353" t="str">
        <f>IFERROR(VLOOKUP($B157,'Unit costs'!$B$86:$F$173,5,FALSE)*D135,"")</f>
        <v/>
      </c>
      <c r="E157" s="353" t="str">
        <f>IFERROR(VLOOKUP($B157,'Unit costs'!$B$86:$F$173,5,FALSE)*E135,"")</f>
        <v/>
      </c>
      <c r="F157" s="353" t="str">
        <f>IFERROR(VLOOKUP($B157,'Unit costs'!$B$86:$F$173,5,FALSE)*F135,"")</f>
        <v/>
      </c>
      <c r="G157" s="164"/>
    </row>
    <row r="158" spans="2:7" s="158" customFormat="1" ht="15.75" thickBot="1" x14ac:dyDescent="0.3">
      <c r="B158" s="243" t="str">
        <f t="shared" si="7"/>
        <v>Other items</v>
      </c>
      <c r="C158" s="353" t="str">
        <f>IFERROR(VLOOKUP($B158,'Unit costs'!$B$86:$F$173,5,FALSE)*C136,"")</f>
        <v/>
      </c>
      <c r="D158" s="353" t="str">
        <f>IFERROR(VLOOKUP($B158,'Unit costs'!$B$86:$F$173,5,FALSE)*D136,"")</f>
        <v/>
      </c>
      <c r="E158" s="353" t="str">
        <f>IFERROR(VLOOKUP($B158,'Unit costs'!$B$86:$F$173,5,FALSE)*E136,"")</f>
        <v/>
      </c>
      <c r="F158" s="353" t="str">
        <f>IFERROR(VLOOKUP($B158,'Unit costs'!$B$86:$F$173,5,FALSE)*F136,"")</f>
        <v/>
      </c>
    </row>
    <row r="159" spans="2:7" s="158" customFormat="1" ht="16.5" customHeight="1" thickBot="1" x14ac:dyDescent="0.3">
      <c r="B159" s="242" t="str">
        <f t="shared" si="7"/>
        <v>Other items</v>
      </c>
      <c r="C159" s="353" t="str">
        <f>IFERROR(VLOOKUP($B159,'Unit costs'!$B$86:$F$173,5,FALSE)*C137,"")</f>
        <v/>
      </c>
      <c r="D159" s="353" t="str">
        <f>IFERROR(VLOOKUP($B159,'Unit costs'!$B$86:$F$173,5,FALSE)*D137,"")</f>
        <v/>
      </c>
      <c r="E159" s="353" t="str">
        <f>IFERROR(VLOOKUP($B159,'Unit costs'!$B$86:$F$173,5,FALSE)*E137,"")</f>
        <v/>
      </c>
      <c r="F159" s="353" t="str">
        <f>IFERROR(VLOOKUP($B159,'Unit costs'!$B$86:$F$173,5,FALSE)*F137,"")</f>
        <v/>
      </c>
    </row>
    <row r="160" spans="2:7" s="158" customFormat="1" ht="15.75" thickBot="1" x14ac:dyDescent="0.3">
      <c r="B160" s="242" t="str">
        <f t="shared" si="7"/>
        <v>Other items</v>
      </c>
      <c r="C160" s="353" t="str">
        <f>IFERROR(VLOOKUP($B160,'Unit costs'!$B$86:$F$173,5,FALSE)*C138,"")</f>
        <v/>
      </c>
      <c r="D160" s="353" t="str">
        <f>IFERROR(VLOOKUP($B160,'Unit costs'!$B$86:$F$173,5,FALSE)*D138,"")</f>
        <v/>
      </c>
      <c r="E160" s="353" t="str">
        <f>IFERROR(VLOOKUP($B160,'Unit costs'!$B$86:$F$173,5,FALSE)*E138,"")</f>
        <v/>
      </c>
      <c r="F160" s="353" t="str">
        <f>IFERROR(VLOOKUP($B160,'Unit costs'!$B$86:$F$173,5,FALSE)*F138,"")</f>
        <v/>
      </c>
    </row>
    <row r="161" spans="2:12" s="158" customFormat="1" x14ac:dyDescent="0.25">
      <c r="B161" s="242" t="str">
        <f t="shared" si="7"/>
        <v>Other items</v>
      </c>
      <c r="C161" s="353" t="str">
        <f>IFERROR(VLOOKUP($B161,'Unit costs'!$B$86:$F$173,5,FALSE)*C139,"")</f>
        <v/>
      </c>
      <c r="D161" s="353" t="str">
        <f>IFERROR(VLOOKUP($B161,'Unit costs'!$B$86:$F$173,5,FALSE)*D139,"")</f>
        <v/>
      </c>
      <c r="E161" s="353" t="str">
        <f>IFERROR(VLOOKUP($B161,'Unit costs'!$B$86:$F$173,5,FALSE)*E139,"")</f>
        <v/>
      </c>
      <c r="F161" s="353" t="str">
        <f>IFERROR(VLOOKUP($B161,'Unit costs'!$B$86:$F$173,5,FALSE)*F139,"")</f>
        <v/>
      </c>
    </row>
    <row r="162" spans="2:12" s="158" customFormat="1" x14ac:dyDescent="0.25">
      <c r="B162" s="207"/>
      <c r="C162" s="207"/>
      <c r="D162" s="207"/>
      <c r="E162" s="207"/>
      <c r="F162" s="207"/>
      <c r="G162" s="207"/>
      <c r="H162" s="207"/>
      <c r="I162" s="207"/>
      <c r="J162" s="207"/>
      <c r="K162" s="207"/>
      <c r="L162" s="207"/>
    </row>
    <row r="163" spans="2:12" s="158" customFormat="1" x14ac:dyDescent="0.25">
      <c r="B163" s="120"/>
      <c r="C163" s="120"/>
      <c r="D163" s="120"/>
      <c r="E163" s="120"/>
      <c r="F163" s="120"/>
      <c r="G163" s="120"/>
      <c r="H163" s="120"/>
      <c r="I163" s="120"/>
      <c r="J163" s="120"/>
      <c r="K163" s="120"/>
      <c r="L163" s="120"/>
    </row>
    <row r="164" spans="2:12" s="158" customFormat="1" x14ac:dyDescent="0.25">
      <c r="B164" s="444" t="s">
        <v>75</v>
      </c>
      <c r="C164" s="444"/>
      <c r="D164" s="444"/>
      <c r="E164" s="444"/>
      <c r="F164" s="444"/>
      <c r="G164" s="444"/>
      <c r="H164" s="444"/>
      <c r="I164" s="444"/>
      <c r="J164" s="444"/>
      <c r="K164" s="444"/>
      <c r="L164" s="444"/>
    </row>
    <row r="165" spans="2:12" s="158" customFormat="1" ht="15.75" thickBot="1" x14ac:dyDescent="0.3">
      <c r="B165" s="174"/>
      <c r="C165" s="174"/>
      <c r="D165" s="174"/>
      <c r="E165" s="174"/>
      <c r="F165" s="174"/>
      <c r="G165" s="174"/>
      <c r="H165" s="174"/>
      <c r="I165" s="174"/>
      <c r="J165" s="112"/>
      <c r="K165" s="112"/>
      <c r="L165" s="112"/>
    </row>
    <row r="166" spans="2:12" s="158" customFormat="1" ht="45.75" thickBot="1" x14ac:dyDescent="0.3">
      <c r="B166" s="139" t="s">
        <v>97</v>
      </c>
      <c r="C166" s="247" t="str">
        <f>'Set up'!B18</f>
        <v>Abbott M2000 RealTime</v>
      </c>
      <c r="D166" s="248" t="str">
        <f>'Set up'!B19</f>
        <v>Abbott M2000 RealTime</v>
      </c>
      <c r="E166" s="248" t="str">
        <f>'Set up'!B20</f>
        <v>Roche COBAS Ampliprep/TaqMan 48</v>
      </c>
      <c r="F166" s="409" t="str">
        <f>'Set up'!B21</f>
        <v>Roche COBAS Ampliprep/TaqMan 48</v>
      </c>
    </row>
    <row r="167" spans="2:12" s="158" customFormat="1" x14ac:dyDescent="0.25">
      <c r="B167" s="244" t="s">
        <v>76</v>
      </c>
      <c r="C167" s="172" t="s">
        <v>531</v>
      </c>
      <c r="D167" s="172"/>
      <c r="E167" s="172"/>
      <c r="F167" s="172"/>
    </row>
    <row r="168" spans="2:12" s="158" customFormat="1" x14ac:dyDescent="0.25">
      <c r="B168" s="184" t="s">
        <v>77</v>
      </c>
      <c r="C168" s="144"/>
      <c r="D168" s="144"/>
      <c r="E168" s="144"/>
      <c r="F168" s="144"/>
    </row>
    <row r="169" spans="2:12" s="158" customFormat="1" x14ac:dyDescent="0.25">
      <c r="B169" s="184" t="s">
        <v>78</v>
      </c>
      <c r="C169" s="144"/>
      <c r="D169" s="144"/>
      <c r="E169" s="144"/>
      <c r="F169" s="144"/>
    </row>
    <row r="170" spans="2:12" s="158" customFormat="1" x14ac:dyDescent="0.25">
      <c r="B170" s="184" t="s">
        <v>79</v>
      </c>
      <c r="C170" s="144"/>
      <c r="D170" s="144"/>
      <c r="E170" s="144"/>
      <c r="F170" s="144"/>
    </row>
    <row r="171" spans="2:12" s="158" customFormat="1" x14ac:dyDescent="0.25">
      <c r="B171" s="184" t="s">
        <v>80</v>
      </c>
      <c r="C171" s="144"/>
      <c r="D171" s="144"/>
      <c r="E171" s="144"/>
      <c r="F171" s="144"/>
    </row>
    <row r="172" spans="2:12" x14ac:dyDescent="0.25">
      <c r="B172" s="184" t="s">
        <v>81</v>
      </c>
      <c r="C172" s="144"/>
      <c r="D172" s="144"/>
      <c r="E172" s="144"/>
      <c r="F172" s="144"/>
    </row>
    <row r="173" spans="2:12" x14ac:dyDescent="0.25">
      <c r="B173" s="184" t="s">
        <v>82</v>
      </c>
      <c r="C173" s="144"/>
      <c r="D173" s="144"/>
      <c r="E173" s="144"/>
      <c r="F173" s="144"/>
    </row>
    <row r="174" spans="2:12" x14ac:dyDescent="0.25">
      <c r="B174" s="184" t="s">
        <v>83</v>
      </c>
      <c r="C174" s="144"/>
      <c r="D174" s="144"/>
      <c r="E174" s="144"/>
      <c r="F174" s="144"/>
    </row>
    <row r="175" spans="2:12" x14ac:dyDescent="0.25">
      <c r="B175" s="184" t="s">
        <v>84</v>
      </c>
      <c r="C175" s="144"/>
      <c r="D175" s="144"/>
      <c r="E175" s="144"/>
      <c r="F175" s="144"/>
    </row>
    <row r="176" spans="2:12" x14ac:dyDescent="0.25">
      <c r="B176" s="184" t="s">
        <v>85</v>
      </c>
      <c r="C176" s="144"/>
      <c r="D176" s="144"/>
      <c r="E176" s="144"/>
      <c r="F176" s="144"/>
    </row>
    <row r="177" spans="2:12" x14ac:dyDescent="0.25">
      <c r="B177" s="158"/>
      <c r="C177" s="158"/>
      <c r="D177" s="158"/>
      <c r="E177" s="158"/>
      <c r="F177" s="158"/>
      <c r="G177" s="158"/>
      <c r="H177" s="158"/>
      <c r="I177" s="158"/>
      <c r="J177" s="158"/>
      <c r="K177" s="158"/>
      <c r="L177" s="158"/>
    </row>
    <row r="179" spans="2:12" x14ac:dyDescent="0.25">
      <c r="B179" s="210" t="s">
        <v>347</v>
      </c>
    </row>
    <row r="180" spans="2:12" x14ac:dyDescent="0.25">
      <c r="B180" s="120" t="s">
        <v>353</v>
      </c>
    </row>
  </sheetData>
  <sheetProtection password="C441" sheet="1" objects="1" scenarios="1"/>
  <mergeCells count="39">
    <mergeCell ref="B164:L164"/>
    <mergeCell ref="B141:F141"/>
    <mergeCell ref="B118:G118"/>
    <mergeCell ref="E92:G92"/>
    <mergeCell ref="E93:G93"/>
    <mergeCell ref="E94:G94"/>
    <mergeCell ref="E95:G95"/>
    <mergeCell ref="E110:G110"/>
    <mergeCell ref="E111:G111"/>
    <mergeCell ref="E112:G112"/>
    <mergeCell ref="E113:G113"/>
    <mergeCell ref="E114:G114"/>
    <mergeCell ref="E115:G115"/>
    <mergeCell ref="E99:G99"/>
    <mergeCell ref="E100:G100"/>
    <mergeCell ref="E106:G106"/>
    <mergeCell ref="B1:D1"/>
    <mergeCell ref="E1:G1"/>
    <mergeCell ref="B2:D2"/>
    <mergeCell ref="B3:D3"/>
    <mergeCell ref="B4:D4"/>
    <mergeCell ref="B6:H6"/>
    <mergeCell ref="B51:L51"/>
    <mergeCell ref="B54:F54"/>
    <mergeCell ref="B72:F72"/>
    <mergeCell ref="B13:F13"/>
    <mergeCell ref="B89:L89"/>
    <mergeCell ref="B15:L15"/>
    <mergeCell ref="E96:G96"/>
    <mergeCell ref="E97:G97"/>
    <mergeCell ref="E98:G98"/>
    <mergeCell ref="E107:G107"/>
    <mergeCell ref="E108:G108"/>
    <mergeCell ref="E109:G109"/>
    <mergeCell ref="E101:G101"/>
    <mergeCell ref="E102:G102"/>
    <mergeCell ref="E103:G103"/>
    <mergeCell ref="E104:G104"/>
    <mergeCell ref="E105:G105"/>
  </mergeCells>
  <dataValidations count="5">
    <dataValidation type="list" allowBlank="1" showInputMessage="1" showErrorMessage="1" sqref="WVR983088 C65628:I65628 IY65622:JE65622 SU65622:TA65622 ACQ65622:ACW65622 AMM65622:AMS65622 AWI65622:AWO65622 BGE65622:BGK65622 BQA65622:BQG65622 BZW65622:CAC65622 CJS65622:CJY65622 CTO65622:CTU65622 DDK65622:DDQ65622 DNG65622:DNM65622 DXC65622:DXI65622 EGY65622:EHE65622 EQU65622:ERA65622 FAQ65622:FAW65622 FKM65622:FKS65622 FUI65622:FUO65622 GEE65622:GEK65622 GOA65622:GOG65622 GXW65622:GYC65622 HHS65622:HHY65622 HRO65622:HRU65622 IBK65622:IBQ65622 ILG65622:ILM65622 IVC65622:IVI65622 JEY65622:JFE65622 JOU65622:JPA65622 JYQ65622:JYW65622 KIM65622:KIS65622 KSI65622:KSO65622 LCE65622:LCK65622 LMA65622:LMG65622 LVW65622:LWC65622 MFS65622:MFY65622 MPO65622:MPU65622 MZK65622:MZQ65622 NJG65622:NJM65622 NTC65622:NTI65622 OCY65622:ODE65622 OMU65622:ONA65622 OWQ65622:OWW65622 PGM65622:PGS65622 PQI65622:PQO65622 QAE65622:QAK65622 QKA65622:QKG65622 QTW65622:QUC65622 RDS65622:RDY65622 RNO65622:RNU65622 RXK65622:RXQ65622 SHG65622:SHM65622 SRC65622:SRI65622 TAY65622:TBE65622 TKU65622:TLA65622 TUQ65622:TUW65622 UEM65622:UES65622 UOI65622:UOO65622 UYE65622:UYK65622 VIA65622:VIG65622 VRW65622:VSC65622 WBS65622:WBY65622 WLO65622:WLU65622 WVK65622:WVQ65622 C131164:I131164 IY131158:JE131158 SU131158:TA131158 ACQ131158:ACW131158 AMM131158:AMS131158 AWI131158:AWO131158 BGE131158:BGK131158 BQA131158:BQG131158 BZW131158:CAC131158 CJS131158:CJY131158 CTO131158:CTU131158 DDK131158:DDQ131158 DNG131158:DNM131158 DXC131158:DXI131158 EGY131158:EHE131158 EQU131158:ERA131158 FAQ131158:FAW131158 FKM131158:FKS131158 FUI131158:FUO131158 GEE131158:GEK131158 GOA131158:GOG131158 GXW131158:GYC131158 HHS131158:HHY131158 HRO131158:HRU131158 IBK131158:IBQ131158 ILG131158:ILM131158 IVC131158:IVI131158 JEY131158:JFE131158 JOU131158:JPA131158 JYQ131158:JYW131158 KIM131158:KIS131158 KSI131158:KSO131158 LCE131158:LCK131158 LMA131158:LMG131158 LVW131158:LWC131158 MFS131158:MFY131158 MPO131158:MPU131158 MZK131158:MZQ131158 NJG131158:NJM131158 NTC131158:NTI131158 OCY131158:ODE131158 OMU131158:ONA131158 OWQ131158:OWW131158 PGM131158:PGS131158 PQI131158:PQO131158 QAE131158:QAK131158 QKA131158:QKG131158 QTW131158:QUC131158 RDS131158:RDY131158 RNO131158:RNU131158 RXK131158:RXQ131158 SHG131158:SHM131158 SRC131158:SRI131158 TAY131158:TBE131158 TKU131158:TLA131158 TUQ131158:TUW131158 UEM131158:UES131158 UOI131158:UOO131158 UYE131158:UYK131158 VIA131158:VIG131158 VRW131158:VSC131158 WBS131158:WBY131158 WLO131158:WLU131158 WVK131158:WVQ131158 C196700:I196700 IY196694:JE196694 SU196694:TA196694 ACQ196694:ACW196694 AMM196694:AMS196694 AWI196694:AWO196694 BGE196694:BGK196694 BQA196694:BQG196694 BZW196694:CAC196694 CJS196694:CJY196694 CTO196694:CTU196694 DDK196694:DDQ196694 DNG196694:DNM196694 DXC196694:DXI196694 EGY196694:EHE196694 EQU196694:ERA196694 FAQ196694:FAW196694 FKM196694:FKS196694 FUI196694:FUO196694 GEE196694:GEK196694 GOA196694:GOG196694 GXW196694:GYC196694 HHS196694:HHY196694 HRO196694:HRU196694 IBK196694:IBQ196694 ILG196694:ILM196694 IVC196694:IVI196694 JEY196694:JFE196694 JOU196694:JPA196694 JYQ196694:JYW196694 KIM196694:KIS196694 KSI196694:KSO196694 LCE196694:LCK196694 LMA196694:LMG196694 LVW196694:LWC196694 MFS196694:MFY196694 MPO196694:MPU196694 MZK196694:MZQ196694 NJG196694:NJM196694 NTC196694:NTI196694 OCY196694:ODE196694 OMU196694:ONA196694 OWQ196694:OWW196694 PGM196694:PGS196694 PQI196694:PQO196694 QAE196694:QAK196694 QKA196694:QKG196694 QTW196694:QUC196694 RDS196694:RDY196694 RNO196694:RNU196694 RXK196694:RXQ196694 SHG196694:SHM196694 SRC196694:SRI196694 TAY196694:TBE196694 TKU196694:TLA196694 TUQ196694:TUW196694 UEM196694:UES196694 UOI196694:UOO196694 UYE196694:UYK196694 VIA196694:VIG196694 VRW196694:VSC196694 WBS196694:WBY196694 WLO196694:WLU196694 WVK196694:WVQ196694 C262236:I262236 IY262230:JE262230 SU262230:TA262230 ACQ262230:ACW262230 AMM262230:AMS262230 AWI262230:AWO262230 BGE262230:BGK262230 BQA262230:BQG262230 BZW262230:CAC262230 CJS262230:CJY262230 CTO262230:CTU262230 DDK262230:DDQ262230 DNG262230:DNM262230 DXC262230:DXI262230 EGY262230:EHE262230 EQU262230:ERA262230 FAQ262230:FAW262230 FKM262230:FKS262230 FUI262230:FUO262230 GEE262230:GEK262230 GOA262230:GOG262230 GXW262230:GYC262230 HHS262230:HHY262230 HRO262230:HRU262230 IBK262230:IBQ262230 ILG262230:ILM262230 IVC262230:IVI262230 JEY262230:JFE262230 JOU262230:JPA262230 JYQ262230:JYW262230 KIM262230:KIS262230 KSI262230:KSO262230 LCE262230:LCK262230 LMA262230:LMG262230 LVW262230:LWC262230 MFS262230:MFY262230 MPO262230:MPU262230 MZK262230:MZQ262230 NJG262230:NJM262230 NTC262230:NTI262230 OCY262230:ODE262230 OMU262230:ONA262230 OWQ262230:OWW262230 PGM262230:PGS262230 PQI262230:PQO262230 QAE262230:QAK262230 QKA262230:QKG262230 QTW262230:QUC262230 RDS262230:RDY262230 RNO262230:RNU262230 RXK262230:RXQ262230 SHG262230:SHM262230 SRC262230:SRI262230 TAY262230:TBE262230 TKU262230:TLA262230 TUQ262230:TUW262230 UEM262230:UES262230 UOI262230:UOO262230 UYE262230:UYK262230 VIA262230:VIG262230 VRW262230:VSC262230 WBS262230:WBY262230 WLO262230:WLU262230 WVK262230:WVQ262230 C327772:I327772 IY327766:JE327766 SU327766:TA327766 ACQ327766:ACW327766 AMM327766:AMS327766 AWI327766:AWO327766 BGE327766:BGK327766 BQA327766:BQG327766 BZW327766:CAC327766 CJS327766:CJY327766 CTO327766:CTU327766 DDK327766:DDQ327766 DNG327766:DNM327766 DXC327766:DXI327766 EGY327766:EHE327766 EQU327766:ERA327766 FAQ327766:FAW327766 FKM327766:FKS327766 FUI327766:FUO327766 GEE327766:GEK327766 GOA327766:GOG327766 GXW327766:GYC327766 HHS327766:HHY327766 HRO327766:HRU327766 IBK327766:IBQ327766 ILG327766:ILM327766 IVC327766:IVI327766 JEY327766:JFE327766 JOU327766:JPA327766 JYQ327766:JYW327766 KIM327766:KIS327766 KSI327766:KSO327766 LCE327766:LCK327766 LMA327766:LMG327766 LVW327766:LWC327766 MFS327766:MFY327766 MPO327766:MPU327766 MZK327766:MZQ327766 NJG327766:NJM327766 NTC327766:NTI327766 OCY327766:ODE327766 OMU327766:ONA327766 OWQ327766:OWW327766 PGM327766:PGS327766 PQI327766:PQO327766 QAE327766:QAK327766 QKA327766:QKG327766 QTW327766:QUC327766 RDS327766:RDY327766 RNO327766:RNU327766 RXK327766:RXQ327766 SHG327766:SHM327766 SRC327766:SRI327766 TAY327766:TBE327766 TKU327766:TLA327766 TUQ327766:TUW327766 UEM327766:UES327766 UOI327766:UOO327766 UYE327766:UYK327766 VIA327766:VIG327766 VRW327766:VSC327766 WBS327766:WBY327766 WLO327766:WLU327766 WVK327766:WVQ327766 C393308:I393308 IY393302:JE393302 SU393302:TA393302 ACQ393302:ACW393302 AMM393302:AMS393302 AWI393302:AWO393302 BGE393302:BGK393302 BQA393302:BQG393302 BZW393302:CAC393302 CJS393302:CJY393302 CTO393302:CTU393302 DDK393302:DDQ393302 DNG393302:DNM393302 DXC393302:DXI393302 EGY393302:EHE393302 EQU393302:ERA393302 FAQ393302:FAW393302 FKM393302:FKS393302 FUI393302:FUO393302 GEE393302:GEK393302 GOA393302:GOG393302 GXW393302:GYC393302 HHS393302:HHY393302 HRO393302:HRU393302 IBK393302:IBQ393302 ILG393302:ILM393302 IVC393302:IVI393302 JEY393302:JFE393302 JOU393302:JPA393302 JYQ393302:JYW393302 KIM393302:KIS393302 KSI393302:KSO393302 LCE393302:LCK393302 LMA393302:LMG393302 LVW393302:LWC393302 MFS393302:MFY393302 MPO393302:MPU393302 MZK393302:MZQ393302 NJG393302:NJM393302 NTC393302:NTI393302 OCY393302:ODE393302 OMU393302:ONA393302 OWQ393302:OWW393302 PGM393302:PGS393302 PQI393302:PQO393302 QAE393302:QAK393302 QKA393302:QKG393302 QTW393302:QUC393302 RDS393302:RDY393302 RNO393302:RNU393302 RXK393302:RXQ393302 SHG393302:SHM393302 SRC393302:SRI393302 TAY393302:TBE393302 TKU393302:TLA393302 TUQ393302:TUW393302 UEM393302:UES393302 UOI393302:UOO393302 UYE393302:UYK393302 VIA393302:VIG393302 VRW393302:VSC393302 WBS393302:WBY393302 WLO393302:WLU393302 WVK393302:WVQ393302 C458844:I458844 IY458838:JE458838 SU458838:TA458838 ACQ458838:ACW458838 AMM458838:AMS458838 AWI458838:AWO458838 BGE458838:BGK458838 BQA458838:BQG458838 BZW458838:CAC458838 CJS458838:CJY458838 CTO458838:CTU458838 DDK458838:DDQ458838 DNG458838:DNM458838 DXC458838:DXI458838 EGY458838:EHE458838 EQU458838:ERA458838 FAQ458838:FAW458838 FKM458838:FKS458838 FUI458838:FUO458838 GEE458838:GEK458838 GOA458838:GOG458838 GXW458838:GYC458838 HHS458838:HHY458838 HRO458838:HRU458838 IBK458838:IBQ458838 ILG458838:ILM458838 IVC458838:IVI458838 JEY458838:JFE458838 JOU458838:JPA458838 JYQ458838:JYW458838 KIM458838:KIS458838 KSI458838:KSO458838 LCE458838:LCK458838 LMA458838:LMG458838 LVW458838:LWC458838 MFS458838:MFY458838 MPO458838:MPU458838 MZK458838:MZQ458838 NJG458838:NJM458838 NTC458838:NTI458838 OCY458838:ODE458838 OMU458838:ONA458838 OWQ458838:OWW458838 PGM458838:PGS458838 PQI458838:PQO458838 QAE458838:QAK458838 QKA458838:QKG458838 QTW458838:QUC458838 RDS458838:RDY458838 RNO458838:RNU458838 RXK458838:RXQ458838 SHG458838:SHM458838 SRC458838:SRI458838 TAY458838:TBE458838 TKU458838:TLA458838 TUQ458838:TUW458838 UEM458838:UES458838 UOI458838:UOO458838 UYE458838:UYK458838 VIA458838:VIG458838 VRW458838:VSC458838 WBS458838:WBY458838 WLO458838:WLU458838 WVK458838:WVQ458838 C524380:I524380 IY524374:JE524374 SU524374:TA524374 ACQ524374:ACW524374 AMM524374:AMS524374 AWI524374:AWO524374 BGE524374:BGK524374 BQA524374:BQG524374 BZW524374:CAC524374 CJS524374:CJY524374 CTO524374:CTU524374 DDK524374:DDQ524374 DNG524374:DNM524374 DXC524374:DXI524374 EGY524374:EHE524374 EQU524374:ERA524374 FAQ524374:FAW524374 FKM524374:FKS524374 FUI524374:FUO524374 GEE524374:GEK524374 GOA524374:GOG524374 GXW524374:GYC524374 HHS524374:HHY524374 HRO524374:HRU524374 IBK524374:IBQ524374 ILG524374:ILM524374 IVC524374:IVI524374 JEY524374:JFE524374 JOU524374:JPA524374 JYQ524374:JYW524374 KIM524374:KIS524374 KSI524374:KSO524374 LCE524374:LCK524374 LMA524374:LMG524374 LVW524374:LWC524374 MFS524374:MFY524374 MPO524374:MPU524374 MZK524374:MZQ524374 NJG524374:NJM524374 NTC524374:NTI524374 OCY524374:ODE524374 OMU524374:ONA524374 OWQ524374:OWW524374 PGM524374:PGS524374 PQI524374:PQO524374 QAE524374:QAK524374 QKA524374:QKG524374 QTW524374:QUC524374 RDS524374:RDY524374 RNO524374:RNU524374 RXK524374:RXQ524374 SHG524374:SHM524374 SRC524374:SRI524374 TAY524374:TBE524374 TKU524374:TLA524374 TUQ524374:TUW524374 UEM524374:UES524374 UOI524374:UOO524374 UYE524374:UYK524374 VIA524374:VIG524374 VRW524374:VSC524374 WBS524374:WBY524374 WLO524374:WLU524374 WVK524374:WVQ524374 C589916:I589916 IY589910:JE589910 SU589910:TA589910 ACQ589910:ACW589910 AMM589910:AMS589910 AWI589910:AWO589910 BGE589910:BGK589910 BQA589910:BQG589910 BZW589910:CAC589910 CJS589910:CJY589910 CTO589910:CTU589910 DDK589910:DDQ589910 DNG589910:DNM589910 DXC589910:DXI589910 EGY589910:EHE589910 EQU589910:ERA589910 FAQ589910:FAW589910 FKM589910:FKS589910 FUI589910:FUO589910 GEE589910:GEK589910 GOA589910:GOG589910 GXW589910:GYC589910 HHS589910:HHY589910 HRO589910:HRU589910 IBK589910:IBQ589910 ILG589910:ILM589910 IVC589910:IVI589910 JEY589910:JFE589910 JOU589910:JPA589910 JYQ589910:JYW589910 KIM589910:KIS589910 KSI589910:KSO589910 LCE589910:LCK589910 LMA589910:LMG589910 LVW589910:LWC589910 MFS589910:MFY589910 MPO589910:MPU589910 MZK589910:MZQ589910 NJG589910:NJM589910 NTC589910:NTI589910 OCY589910:ODE589910 OMU589910:ONA589910 OWQ589910:OWW589910 PGM589910:PGS589910 PQI589910:PQO589910 QAE589910:QAK589910 QKA589910:QKG589910 QTW589910:QUC589910 RDS589910:RDY589910 RNO589910:RNU589910 RXK589910:RXQ589910 SHG589910:SHM589910 SRC589910:SRI589910 TAY589910:TBE589910 TKU589910:TLA589910 TUQ589910:TUW589910 UEM589910:UES589910 UOI589910:UOO589910 UYE589910:UYK589910 VIA589910:VIG589910 VRW589910:VSC589910 WBS589910:WBY589910 WLO589910:WLU589910 WVK589910:WVQ589910 C655452:I655452 IY655446:JE655446 SU655446:TA655446 ACQ655446:ACW655446 AMM655446:AMS655446 AWI655446:AWO655446 BGE655446:BGK655446 BQA655446:BQG655446 BZW655446:CAC655446 CJS655446:CJY655446 CTO655446:CTU655446 DDK655446:DDQ655446 DNG655446:DNM655446 DXC655446:DXI655446 EGY655446:EHE655446 EQU655446:ERA655446 FAQ655446:FAW655446 FKM655446:FKS655446 FUI655446:FUO655446 GEE655446:GEK655446 GOA655446:GOG655446 GXW655446:GYC655446 HHS655446:HHY655446 HRO655446:HRU655446 IBK655446:IBQ655446 ILG655446:ILM655446 IVC655446:IVI655446 JEY655446:JFE655446 JOU655446:JPA655446 JYQ655446:JYW655446 KIM655446:KIS655446 KSI655446:KSO655446 LCE655446:LCK655446 LMA655446:LMG655446 LVW655446:LWC655446 MFS655446:MFY655446 MPO655446:MPU655446 MZK655446:MZQ655446 NJG655446:NJM655446 NTC655446:NTI655446 OCY655446:ODE655446 OMU655446:ONA655446 OWQ655446:OWW655446 PGM655446:PGS655446 PQI655446:PQO655446 QAE655446:QAK655446 QKA655446:QKG655446 QTW655446:QUC655446 RDS655446:RDY655446 RNO655446:RNU655446 RXK655446:RXQ655446 SHG655446:SHM655446 SRC655446:SRI655446 TAY655446:TBE655446 TKU655446:TLA655446 TUQ655446:TUW655446 UEM655446:UES655446 UOI655446:UOO655446 UYE655446:UYK655446 VIA655446:VIG655446 VRW655446:VSC655446 WBS655446:WBY655446 WLO655446:WLU655446 WVK655446:WVQ655446 C720988:I720988 IY720982:JE720982 SU720982:TA720982 ACQ720982:ACW720982 AMM720982:AMS720982 AWI720982:AWO720982 BGE720982:BGK720982 BQA720982:BQG720982 BZW720982:CAC720982 CJS720982:CJY720982 CTO720982:CTU720982 DDK720982:DDQ720982 DNG720982:DNM720982 DXC720982:DXI720982 EGY720982:EHE720982 EQU720982:ERA720982 FAQ720982:FAW720982 FKM720982:FKS720982 FUI720982:FUO720982 GEE720982:GEK720982 GOA720982:GOG720982 GXW720982:GYC720982 HHS720982:HHY720982 HRO720982:HRU720982 IBK720982:IBQ720982 ILG720982:ILM720982 IVC720982:IVI720982 JEY720982:JFE720982 JOU720982:JPA720982 JYQ720982:JYW720982 KIM720982:KIS720982 KSI720982:KSO720982 LCE720982:LCK720982 LMA720982:LMG720982 LVW720982:LWC720982 MFS720982:MFY720982 MPO720982:MPU720982 MZK720982:MZQ720982 NJG720982:NJM720982 NTC720982:NTI720982 OCY720982:ODE720982 OMU720982:ONA720982 OWQ720982:OWW720982 PGM720982:PGS720982 PQI720982:PQO720982 QAE720982:QAK720982 QKA720982:QKG720982 QTW720982:QUC720982 RDS720982:RDY720982 RNO720982:RNU720982 RXK720982:RXQ720982 SHG720982:SHM720982 SRC720982:SRI720982 TAY720982:TBE720982 TKU720982:TLA720982 TUQ720982:TUW720982 UEM720982:UES720982 UOI720982:UOO720982 UYE720982:UYK720982 VIA720982:VIG720982 VRW720982:VSC720982 WBS720982:WBY720982 WLO720982:WLU720982 WVK720982:WVQ720982 C786524:I786524 IY786518:JE786518 SU786518:TA786518 ACQ786518:ACW786518 AMM786518:AMS786518 AWI786518:AWO786518 BGE786518:BGK786518 BQA786518:BQG786518 BZW786518:CAC786518 CJS786518:CJY786518 CTO786518:CTU786518 DDK786518:DDQ786518 DNG786518:DNM786518 DXC786518:DXI786518 EGY786518:EHE786518 EQU786518:ERA786518 FAQ786518:FAW786518 FKM786518:FKS786518 FUI786518:FUO786518 GEE786518:GEK786518 GOA786518:GOG786518 GXW786518:GYC786518 HHS786518:HHY786518 HRO786518:HRU786518 IBK786518:IBQ786518 ILG786518:ILM786518 IVC786518:IVI786518 JEY786518:JFE786518 JOU786518:JPA786518 JYQ786518:JYW786518 KIM786518:KIS786518 KSI786518:KSO786518 LCE786518:LCK786518 LMA786518:LMG786518 LVW786518:LWC786518 MFS786518:MFY786518 MPO786518:MPU786518 MZK786518:MZQ786518 NJG786518:NJM786518 NTC786518:NTI786518 OCY786518:ODE786518 OMU786518:ONA786518 OWQ786518:OWW786518 PGM786518:PGS786518 PQI786518:PQO786518 QAE786518:QAK786518 QKA786518:QKG786518 QTW786518:QUC786518 RDS786518:RDY786518 RNO786518:RNU786518 RXK786518:RXQ786518 SHG786518:SHM786518 SRC786518:SRI786518 TAY786518:TBE786518 TKU786518:TLA786518 TUQ786518:TUW786518 UEM786518:UES786518 UOI786518:UOO786518 UYE786518:UYK786518 VIA786518:VIG786518 VRW786518:VSC786518 WBS786518:WBY786518 WLO786518:WLU786518 WVK786518:WVQ786518 C852060:I852060 IY852054:JE852054 SU852054:TA852054 ACQ852054:ACW852054 AMM852054:AMS852054 AWI852054:AWO852054 BGE852054:BGK852054 BQA852054:BQG852054 BZW852054:CAC852054 CJS852054:CJY852054 CTO852054:CTU852054 DDK852054:DDQ852054 DNG852054:DNM852054 DXC852054:DXI852054 EGY852054:EHE852054 EQU852054:ERA852054 FAQ852054:FAW852054 FKM852054:FKS852054 FUI852054:FUO852054 GEE852054:GEK852054 GOA852054:GOG852054 GXW852054:GYC852054 HHS852054:HHY852054 HRO852054:HRU852054 IBK852054:IBQ852054 ILG852054:ILM852054 IVC852054:IVI852054 JEY852054:JFE852054 JOU852054:JPA852054 JYQ852054:JYW852054 KIM852054:KIS852054 KSI852054:KSO852054 LCE852054:LCK852054 LMA852054:LMG852054 LVW852054:LWC852054 MFS852054:MFY852054 MPO852054:MPU852054 MZK852054:MZQ852054 NJG852054:NJM852054 NTC852054:NTI852054 OCY852054:ODE852054 OMU852054:ONA852054 OWQ852054:OWW852054 PGM852054:PGS852054 PQI852054:PQO852054 QAE852054:QAK852054 QKA852054:QKG852054 QTW852054:QUC852054 RDS852054:RDY852054 RNO852054:RNU852054 RXK852054:RXQ852054 SHG852054:SHM852054 SRC852054:SRI852054 TAY852054:TBE852054 TKU852054:TLA852054 TUQ852054:TUW852054 UEM852054:UES852054 UOI852054:UOO852054 UYE852054:UYK852054 VIA852054:VIG852054 VRW852054:VSC852054 WBS852054:WBY852054 WLO852054:WLU852054 WVK852054:WVQ852054 C917596:I917596 IY917590:JE917590 SU917590:TA917590 ACQ917590:ACW917590 AMM917590:AMS917590 AWI917590:AWO917590 BGE917590:BGK917590 BQA917590:BQG917590 BZW917590:CAC917590 CJS917590:CJY917590 CTO917590:CTU917590 DDK917590:DDQ917590 DNG917590:DNM917590 DXC917590:DXI917590 EGY917590:EHE917590 EQU917590:ERA917590 FAQ917590:FAW917590 FKM917590:FKS917590 FUI917590:FUO917590 GEE917590:GEK917590 GOA917590:GOG917590 GXW917590:GYC917590 HHS917590:HHY917590 HRO917590:HRU917590 IBK917590:IBQ917590 ILG917590:ILM917590 IVC917590:IVI917590 JEY917590:JFE917590 JOU917590:JPA917590 JYQ917590:JYW917590 KIM917590:KIS917590 KSI917590:KSO917590 LCE917590:LCK917590 LMA917590:LMG917590 LVW917590:LWC917590 MFS917590:MFY917590 MPO917590:MPU917590 MZK917590:MZQ917590 NJG917590:NJM917590 NTC917590:NTI917590 OCY917590:ODE917590 OMU917590:ONA917590 OWQ917590:OWW917590 PGM917590:PGS917590 PQI917590:PQO917590 QAE917590:QAK917590 QKA917590:QKG917590 QTW917590:QUC917590 RDS917590:RDY917590 RNO917590:RNU917590 RXK917590:RXQ917590 SHG917590:SHM917590 SRC917590:SRI917590 TAY917590:TBE917590 TKU917590:TLA917590 TUQ917590:TUW917590 UEM917590:UES917590 UOI917590:UOO917590 UYE917590:UYK917590 VIA917590:VIG917590 VRW917590:VSC917590 WBS917590:WBY917590 WLO917590:WLU917590 WVK917590:WVQ917590 C983132:I983132 IY983126:JE983126 SU983126:TA983126 ACQ983126:ACW983126 AMM983126:AMS983126 AWI983126:AWO983126 BGE983126:BGK983126 BQA983126:BQG983126 BZW983126:CAC983126 CJS983126:CJY983126 CTO983126:CTU983126 DDK983126:DDQ983126 DNG983126:DNM983126 DXC983126:DXI983126 EGY983126:EHE983126 EQU983126:ERA983126 FAQ983126:FAW983126 FKM983126:FKS983126 FUI983126:FUO983126 GEE983126:GEK983126 GOA983126:GOG983126 GXW983126:GYC983126 HHS983126:HHY983126 HRO983126:HRU983126 IBK983126:IBQ983126 ILG983126:ILM983126 IVC983126:IVI983126 JEY983126:JFE983126 JOU983126:JPA983126 JYQ983126:JYW983126 KIM983126:KIS983126 KSI983126:KSO983126 LCE983126:LCK983126 LMA983126:LMG983126 LVW983126:LWC983126 MFS983126:MFY983126 MPO983126:MPU983126 MZK983126:MZQ983126 NJG983126:NJM983126 NTC983126:NTI983126 OCY983126:ODE983126 OMU983126:ONA983126 OWQ983126:OWW983126 PGM983126:PGS983126 PQI983126:PQO983126 QAE983126:QAK983126 QKA983126:QKG983126 QTW983126:QUC983126 RDS983126:RDY983126 RNO983126:RNU983126 RXK983126:RXQ983126 SHG983126:SHM983126 SRC983126:SRI983126 TAY983126:TBE983126 TKU983126:TLA983126 TUQ983126:TUW983126 UEM983126:UES983126 UOI983126:UOO983126 UYE983126:UYK983126 VIA983126:VIG983126 VRW983126:VSC983126 WBS983126:WBY983126 WLO983126:WLU983126 WVK983126:WVQ983126 WLV983088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J65590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6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62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8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34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70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6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42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8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14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50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6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22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8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94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formula1>Visits</formula1>
    </dataValidation>
    <dataValidation type="list" allowBlank="1" showInputMessage="1" showErrorMessage="1" sqref="WVK983088:WVQ983088 IO16:IU16 SK16:SQ16 ACG16:ACM16 AMC16:AMI16 AVY16:AWE16 BFU16:BGA16 BPQ16:BPW16 BZM16:BZS16 CJI16:CJO16 CTE16:CTK16 DDA16:DDG16 DMW16:DNC16 DWS16:DWY16 EGO16:EGU16 EQK16:EQQ16 FAG16:FAM16 FKC16:FKI16 FTY16:FUE16 GDU16:GEA16 GNQ16:GNW16 GXM16:GXS16 HHI16:HHO16 HRE16:HRK16 IBA16:IBG16 IKW16:ILC16 IUS16:IUY16 JEO16:JEU16 JOK16:JOQ16 JYG16:JYM16 KIC16:KII16 KRY16:KSE16 LBU16:LCA16 LLQ16:LLW16 LVM16:LVS16 MFI16:MFO16 MPE16:MPK16 MZA16:MZG16 NIW16:NJC16 NSS16:NSY16 OCO16:OCU16 OMK16:OMQ16 OWG16:OWM16 PGC16:PGI16 PPY16:PQE16 PZU16:QAA16 QJQ16:QJW16 QTM16:QTS16 RDI16:RDO16 RNE16:RNK16 RXA16:RXG16 SGW16:SHC16 SQS16:SQY16 TAO16:TAU16 TKK16:TKQ16 TUG16:TUM16 UEC16:UEI16 UNY16:UOE16 UXU16:UYA16 VHQ16:VHW16 VRM16:VRS16 WBI16:WBO16 WLE16:WLK16 WVA16:WVG16 C65590:I65590 IY65584:JE65584 SU65584:TA65584 ACQ65584:ACW65584 AMM65584:AMS65584 AWI65584:AWO65584 BGE65584:BGK65584 BQA65584:BQG65584 BZW65584:CAC65584 CJS65584:CJY65584 CTO65584:CTU65584 DDK65584:DDQ65584 DNG65584:DNM65584 DXC65584:DXI65584 EGY65584:EHE65584 EQU65584:ERA65584 FAQ65584:FAW65584 FKM65584:FKS65584 FUI65584:FUO65584 GEE65584:GEK65584 GOA65584:GOG65584 GXW65584:GYC65584 HHS65584:HHY65584 HRO65584:HRU65584 IBK65584:IBQ65584 ILG65584:ILM65584 IVC65584:IVI65584 JEY65584:JFE65584 JOU65584:JPA65584 JYQ65584:JYW65584 KIM65584:KIS65584 KSI65584:KSO65584 LCE65584:LCK65584 LMA65584:LMG65584 LVW65584:LWC65584 MFS65584:MFY65584 MPO65584:MPU65584 MZK65584:MZQ65584 NJG65584:NJM65584 NTC65584:NTI65584 OCY65584:ODE65584 OMU65584:ONA65584 OWQ65584:OWW65584 PGM65584:PGS65584 PQI65584:PQO65584 QAE65584:QAK65584 QKA65584:QKG65584 QTW65584:QUC65584 RDS65584:RDY65584 RNO65584:RNU65584 RXK65584:RXQ65584 SHG65584:SHM65584 SRC65584:SRI65584 TAY65584:TBE65584 TKU65584:TLA65584 TUQ65584:TUW65584 UEM65584:UES65584 UOI65584:UOO65584 UYE65584:UYK65584 VIA65584:VIG65584 VRW65584:VSC65584 WBS65584:WBY65584 WLO65584:WLU65584 WVK65584:WVQ65584 C131126:I131126 IY131120:JE131120 SU131120:TA131120 ACQ131120:ACW131120 AMM131120:AMS131120 AWI131120:AWO131120 BGE131120:BGK131120 BQA131120:BQG131120 BZW131120:CAC131120 CJS131120:CJY131120 CTO131120:CTU131120 DDK131120:DDQ131120 DNG131120:DNM131120 DXC131120:DXI131120 EGY131120:EHE131120 EQU131120:ERA131120 FAQ131120:FAW131120 FKM131120:FKS131120 FUI131120:FUO131120 GEE131120:GEK131120 GOA131120:GOG131120 GXW131120:GYC131120 HHS131120:HHY131120 HRO131120:HRU131120 IBK131120:IBQ131120 ILG131120:ILM131120 IVC131120:IVI131120 JEY131120:JFE131120 JOU131120:JPA131120 JYQ131120:JYW131120 KIM131120:KIS131120 KSI131120:KSO131120 LCE131120:LCK131120 LMA131120:LMG131120 LVW131120:LWC131120 MFS131120:MFY131120 MPO131120:MPU131120 MZK131120:MZQ131120 NJG131120:NJM131120 NTC131120:NTI131120 OCY131120:ODE131120 OMU131120:ONA131120 OWQ131120:OWW131120 PGM131120:PGS131120 PQI131120:PQO131120 QAE131120:QAK131120 QKA131120:QKG131120 QTW131120:QUC131120 RDS131120:RDY131120 RNO131120:RNU131120 RXK131120:RXQ131120 SHG131120:SHM131120 SRC131120:SRI131120 TAY131120:TBE131120 TKU131120:TLA131120 TUQ131120:TUW131120 UEM131120:UES131120 UOI131120:UOO131120 UYE131120:UYK131120 VIA131120:VIG131120 VRW131120:VSC131120 WBS131120:WBY131120 WLO131120:WLU131120 WVK131120:WVQ131120 C196662:I196662 IY196656:JE196656 SU196656:TA196656 ACQ196656:ACW196656 AMM196656:AMS196656 AWI196656:AWO196656 BGE196656:BGK196656 BQA196656:BQG196656 BZW196656:CAC196656 CJS196656:CJY196656 CTO196656:CTU196656 DDK196656:DDQ196656 DNG196656:DNM196656 DXC196656:DXI196656 EGY196656:EHE196656 EQU196656:ERA196656 FAQ196656:FAW196656 FKM196656:FKS196656 FUI196656:FUO196656 GEE196656:GEK196656 GOA196656:GOG196656 GXW196656:GYC196656 HHS196656:HHY196656 HRO196656:HRU196656 IBK196656:IBQ196656 ILG196656:ILM196656 IVC196656:IVI196656 JEY196656:JFE196656 JOU196656:JPA196656 JYQ196656:JYW196656 KIM196656:KIS196656 KSI196656:KSO196656 LCE196656:LCK196656 LMA196656:LMG196656 LVW196656:LWC196656 MFS196656:MFY196656 MPO196656:MPU196656 MZK196656:MZQ196656 NJG196656:NJM196656 NTC196656:NTI196656 OCY196656:ODE196656 OMU196656:ONA196656 OWQ196656:OWW196656 PGM196656:PGS196656 PQI196656:PQO196656 QAE196656:QAK196656 QKA196656:QKG196656 QTW196656:QUC196656 RDS196656:RDY196656 RNO196656:RNU196656 RXK196656:RXQ196656 SHG196656:SHM196656 SRC196656:SRI196656 TAY196656:TBE196656 TKU196656:TLA196656 TUQ196656:TUW196656 UEM196656:UES196656 UOI196656:UOO196656 UYE196656:UYK196656 VIA196656:VIG196656 VRW196656:VSC196656 WBS196656:WBY196656 WLO196656:WLU196656 WVK196656:WVQ196656 C262198:I262198 IY262192:JE262192 SU262192:TA262192 ACQ262192:ACW262192 AMM262192:AMS262192 AWI262192:AWO262192 BGE262192:BGK262192 BQA262192:BQG262192 BZW262192:CAC262192 CJS262192:CJY262192 CTO262192:CTU262192 DDK262192:DDQ262192 DNG262192:DNM262192 DXC262192:DXI262192 EGY262192:EHE262192 EQU262192:ERA262192 FAQ262192:FAW262192 FKM262192:FKS262192 FUI262192:FUO262192 GEE262192:GEK262192 GOA262192:GOG262192 GXW262192:GYC262192 HHS262192:HHY262192 HRO262192:HRU262192 IBK262192:IBQ262192 ILG262192:ILM262192 IVC262192:IVI262192 JEY262192:JFE262192 JOU262192:JPA262192 JYQ262192:JYW262192 KIM262192:KIS262192 KSI262192:KSO262192 LCE262192:LCK262192 LMA262192:LMG262192 LVW262192:LWC262192 MFS262192:MFY262192 MPO262192:MPU262192 MZK262192:MZQ262192 NJG262192:NJM262192 NTC262192:NTI262192 OCY262192:ODE262192 OMU262192:ONA262192 OWQ262192:OWW262192 PGM262192:PGS262192 PQI262192:PQO262192 QAE262192:QAK262192 QKA262192:QKG262192 QTW262192:QUC262192 RDS262192:RDY262192 RNO262192:RNU262192 RXK262192:RXQ262192 SHG262192:SHM262192 SRC262192:SRI262192 TAY262192:TBE262192 TKU262192:TLA262192 TUQ262192:TUW262192 UEM262192:UES262192 UOI262192:UOO262192 UYE262192:UYK262192 VIA262192:VIG262192 VRW262192:VSC262192 WBS262192:WBY262192 WLO262192:WLU262192 WVK262192:WVQ262192 C327734:I327734 IY327728:JE327728 SU327728:TA327728 ACQ327728:ACW327728 AMM327728:AMS327728 AWI327728:AWO327728 BGE327728:BGK327728 BQA327728:BQG327728 BZW327728:CAC327728 CJS327728:CJY327728 CTO327728:CTU327728 DDK327728:DDQ327728 DNG327728:DNM327728 DXC327728:DXI327728 EGY327728:EHE327728 EQU327728:ERA327728 FAQ327728:FAW327728 FKM327728:FKS327728 FUI327728:FUO327728 GEE327728:GEK327728 GOA327728:GOG327728 GXW327728:GYC327728 HHS327728:HHY327728 HRO327728:HRU327728 IBK327728:IBQ327728 ILG327728:ILM327728 IVC327728:IVI327728 JEY327728:JFE327728 JOU327728:JPA327728 JYQ327728:JYW327728 KIM327728:KIS327728 KSI327728:KSO327728 LCE327728:LCK327728 LMA327728:LMG327728 LVW327728:LWC327728 MFS327728:MFY327728 MPO327728:MPU327728 MZK327728:MZQ327728 NJG327728:NJM327728 NTC327728:NTI327728 OCY327728:ODE327728 OMU327728:ONA327728 OWQ327728:OWW327728 PGM327728:PGS327728 PQI327728:PQO327728 QAE327728:QAK327728 QKA327728:QKG327728 QTW327728:QUC327728 RDS327728:RDY327728 RNO327728:RNU327728 RXK327728:RXQ327728 SHG327728:SHM327728 SRC327728:SRI327728 TAY327728:TBE327728 TKU327728:TLA327728 TUQ327728:TUW327728 UEM327728:UES327728 UOI327728:UOO327728 UYE327728:UYK327728 VIA327728:VIG327728 VRW327728:VSC327728 WBS327728:WBY327728 WLO327728:WLU327728 WVK327728:WVQ327728 C393270:I393270 IY393264:JE393264 SU393264:TA393264 ACQ393264:ACW393264 AMM393264:AMS393264 AWI393264:AWO393264 BGE393264:BGK393264 BQA393264:BQG393264 BZW393264:CAC393264 CJS393264:CJY393264 CTO393264:CTU393264 DDK393264:DDQ393264 DNG393264:DNM393264 DXC393264:DXI393264 EGY393264:EHE393264 EQU393264:ERA393264 FAQ393264:FAW393264 FKM393264:FKS393264 FUI393264:FUO393264 GEE393264:GEK393264 GOA393264:GOG393264 GXW393264:GYC393264 HHS393264:HHY393264 HRO393264:HRU393264 IBK393264:IBQ393264 ILG393264:ILM393264 IVC393264:IVI393264 JEY393264:JFE393264 JOU393264:JPA393264 JYQ393264:JYW393264 KIM393264:KIS393264 KSI393264:KSO393264 LCE393264:LCK393264 LMA393264:LMG393264 LVW393264:LWC393264 MFS393264:MFY393264 MPO393264:MPU393264 MZK393264:MZQ393264 NJG393264:NJM393264 NTC393264:NTI393264 OCY393264:ODE393264 OMU393264:ONA393264 OWQ393264:OWW393264 PGM393264:PGS393264 PQI393264:PQO393264 QAE393264:QAK393264 QKA393264:QKG393264 QTW393264:QUC393264 RDS393264:RDY393264 RNO393264:RNU393264 RXK393264:RXQ393264 SHG393264:SHM393264 SRC393264:SRI393264 TAY393264:TBE393264 TKU393264:TLA393264 TUQ393264:TUW393264 UEM393264:UES393264 UOI393264:UOO393264 UYE393264:UYK393264 VIA393264:VIG393264 VRW393264:VSC393264 WBS393264:WBY393264 WLO393264:WLU393264 WVK393264:WVQ393264 C458806:I458806 IY458800:JE458800 SU458800:TA458800 ACQ458800:ACW458800 AMM458800:AMS458800 AWI458800:AWO458800 BGE458800:BGK458800 BQA458800:BQG458800 BZW458800:CAC458800 CJS458800:CJY458800 CTO458800:CTU458800 DDK458800:DDQ458800 DNG458800:DNM458800 DXC458800:DXI458800 EGY458800:EHE458800 EQU458800:ERA458800 FAQ458800:FAW458800 FKM458800:FKS458800 FUI458800:FUO458800 GEE458800:GEK458800 GOA458800:GOG458800 GXW458800:GYC458800 HHS458800:HHY458800 HRO458800:HRU458800 IBK458800:IBQ458800 ILG458800:ILM458800 IVC458800:IVI458800 JEY458800:JFE458800 JOU458800:JPA458800 JYQ458800:JYW458800 KIM458800:KIS458800 KSI458800:KSO458800 LCE458800:LCK458800 LMA458800:LMG458800 LVW458800:LWC458800 MFS458800:MFY458800 MPO458800:MPU458800 MZK458800:MZQ458800 NJG458800:NJM458800 NTC458800:NTI458800 OCY458800:ODE458800 OMU458800:ONA458800 OWQ458800:OWW458800 PGM458800:PGS458800 PQI458800:PQO458800 QAE458800:QAK458800 QKA458800:QKG458800 QTW458800:QUC458800 RDS458800:RDY458800 RNO458800:RNU458800 RXK458800:RXQ458800 SHG458800:SHM458800 SRC458800:SRI458800 TAY458800:TBE458800 TKU458800:TLA458800 TUQ458800:TUW458800 UEM458800:UES458800 UOI458800:UOO458800 UYE458800:UYK458800 VIA458800:VIG458800 VRW458800:VSC458800 WBS458800:WBY458800 WLO458800:WLU458800 WVK458800:WVQ458800 C524342:I524342 IY524336:JE524336 SU524336:TA524336 ACQ524336:ACW524336 AMM524336:AMS524336 AWI524336:AWO524336 BGE524336:BGK524336 BQA524336:BQG524336 BZW524336:CAC524336 CJS524336:CJY524336 CTO524336:CTU524336 DDK524336:DDQ524336 DNG524336:DNM524336 DXC524336:DXI524336 EGY524336:EHE524336 EQU524336:ERA524336 FAQ524336:FAW524336 FKM524336:FKS524336 FUI524336:FUO524336 GEE524336:GEK524336 GOA524336:GOG524336 GXW524336:GYC524336 HHS524336:HHY524336 HRO524336:HRU524336 IBK524336:IBQ524336 ILG524336:ILM524336 IVC524336:IVI524336 JEY524336:JFE524336 JOU524336:JPA524336 JYQ524336:JYW524336 KIM524336:KIS524336 KSI524336:KSO524336 LCE524336:LCK524336 LMA524336:LMG524336 LVW524336:LWC524336 MFS524336:MFY524336 MPO524336:MPU524336 MZK524336:MZQ524336 NJG524336:NJM524336 NTC524336:NTI524336 OCY524336:ODE524336 OMU524336:ONA524336 OWQ524336:OWW524336 PGM524336:PGS524336 PQI524336:PQO524336 QAE524336:QAK524336 QKA524336:QKG524336 QTW524336:QUC524336 RDS524336:RDY524336 RNO524336:RNU524336 RXK524336:RXQ524336 SHG524336:SHM524336 SRC524336:SRI524336 TAY524336:TBE524336 TKU524336:TLA524336 TUQ524336:TUW524336 UEM524336:UES524336 UOI524336:UOO524336 UYE524336:UYK524336 VIA524336:VIG524336 VRW524336:VSC524336 WBS524336:WBY524336 WLO524336:WLU524336 WVK524336:WVQ524336 C589878:I589878 IY589872:JE589872 SU589872:TA589872 ACQ589872:ACW589872 AMM589872:AMS589872 AWI589872:AWO589872 BGE589872:BGK589872 BQA589872:BQG589872 BZW589872:CAC589872 CJS589872:CJY589872 CTO589872:CTU589872 DDK589872:DDQ589872 DNG589872:DNM589872 DXC589872:DXI589872 EGY589872:EHE589872 EQU589872:ERA589872 FAQ589872:FAW589872 FKM589872:FKS589872 FUI589872:FUO589872 GEE589872:GEK589872 GOA589872:GOG589872 GXW589872:GYC589872 HHS589872:HHY589872 HRO589872:HRU589872 IBK589872:IBQ589872 ILG589872:ILM589872 IVC589872:IVI589872 JEY589872:JFE589872 JOU589872:JPA589872 JYQ589872:JYW589872 KIM589872:KIS589872 KSI589872:KSO589872 LCE589872:LCK589872 LMA589872:LMG589872 LVW589872:LWC589872 MFS589872:MFY589872 MPO589872:MPU589872 MZK589872:MZQ589872 NJG589872:NJM589872 NTC589872:NTI589872 OCY589872:ODE589872 OMU589872:ONA589872 OWQ589872:OWW589872 PGM589872:PGS589872 PQI589872:PQO589872 QAE589872:QAK589872 QKA589872:QKG589872 QTW589872:QUC589872 RDS589872:RDY589872 RNO589872:RNU589872 RXK589872:RXQ589872 SHG589872:SHM589872 SRC589872:SRI589872 TAY589872:TBE589872 TKU589872:TLA589872 TUQ589872:TUW589872 UEM589872:UES589872 UOI589872:UOO589872 UYE589872:UYK589872 VIA589872:VIG589872 VRW589872:VSC589872 WBS589872:WBY589872 WLO589872:WLU589872 WVK589872:WVQ589872 C655414:I655414 IY655408:JE655408 SU655408:TA655408 ACQ655408:ACW655408 AMM655408:AMS655408 AWI655408:AWO655408 BGE655408:BGK655408 BQA655408:BQG655408 BZW655408:CAC655408 CJS655408:CJY655408 CTO655408:CTU655408 DDK655408:DDQ655408 DNG655408:DNM655408 DXC655408:DXI655408 EGY655408:EHE655408 EQU655408:ERA655408 FAQ655408:FAW655408 FKM655408:FKS655408 FUI655408:FUO655408 GEE655408:GEK655408 GOA655408:GOG655408 GXW655408:GYC655408 HHS655408:HHY655408 HRO655408:HRU655408 IBK655408:IBQ655408 ILG655408:ILM655408 IVC655408:IVI655408 JEY655408:JFE655408 JOU655408:JPA655408 JYQ655408:JYW655408 KIM655408:KIS655408 KSI655408:KSO655408 LCE655408:LCK655408 LMA655408:LMG655408 LVW655408:LWC655408 MFS655408:MFY655408 MPO655408:MPU655408 MZK655408:MZQ655408 NJG655408:NJM655408 NTC655408:NTI655408 OCY655408:ODE655408 OMU655408:ONA655408 OWQ655408:OWW655408 PGM655408:PGS655408 PQI655408:PQO655408 QAE655408:QAK655408 QKA655408:QKG655408 QTW655408:QUC655408 RDS655408:RDY655408 RNO655408:RNU655408 RXK655408:RXQ655408 SHG655408:SHM655408 SRC655408:SRI655408 TAY655408:TBE655408 TKU655408:TLA655408 TUQ655408:TUW655408 UEM655408:UES655408 UOI655408:UOO655408 UYE655408:UYK655408 VIA655408:VIG655408 VRW655408:VSC655408 WBS655408:WBY655408 WLO655408:WLU655408 WVK655408:WVQ655408 C720950:I720950 IY720944:JE720944 SU720944:TA720944 ACQ720944:ACW720944 AMM720944:AMS720944 AWI720944:AWO720944 BGE720944:BGK720944 BQA720944:BQG720944 BZW720944:CAC720944 CJS720944:CJY720944 CTO720944:CTU720944 DDK720944:DDQ720944 DNG720944:DNM720944 DXC720944:DXI720944 EGY720944:EHE720944 EQU720944:ERA720944 FAQ720944:FAW720944 FKM720944:FKS720944 FUI720944:FUO720944 GEE720944:GEK720944 GOA720944:GOG720944 GXW720944:GYC720944 HHS720944:HHY720944 HRO720944:HRU720944 IBK720944:IBQ720944 ILG720944:ILM720944 IVC720944:IVI720944 JEY720944:JFE720944 JOU720944:JPA720944 JYQ720944:JYW720944 KIM720944:KIS720944 KSI720944:KSO720944 LCE720944:LCK720944 LMA720944:LMG720944 LVW720944:LWC720944 MFS720944:MFY720944 MPO720944:MPU720944 MZK720944:MZQ720944 NJG720944:NJM720944 NTC720944:NTI720944 OCY720944:ODE720944 OMU720944:ONA720944 OWQ720944:OWW720944 PGM720944:PGS720944 PQI720944:PQO720944 QAE720944:QAK720944 QKA720944:QKG720944 QTW720944:QUC720944 RDS720944:RDY720944 RNO720944:RNU720944 RXK720944:RXQ720944 SHG720944:SHM720944 SRC720944:SRI720944 TAY720944:TBE720944 TKU720944:TLA720944 TUQ720944:TUW720944 UEM720944:UES720944 UOI720944:UOO720944 UYE720944:UYK720944 VIA720944:VIG720944 VRW720944:VSC720944 WBS720944:WBY720944 WLO720944:WLU720944 WVK720944:WVQ720944 C786486:I786486 IY786480:JE786480 SU786480:TA786480 ACQ786480:ACW786480 AMM786480:AMS786480 AWI786480:AWO786480 BGE786480:BGK786480 BQA786480:BQG786480 BZW786480:CAC786480 CJS786480:CJY786480 CTO786480:CTU786480 DDK786480:DDQ786480 DNG786480:DNM786480 DXC786480:DXI786480 EGY786480:EHE786480 EQU786480:ERA786480 FAQ786480:FAW786480 FKM786480:FKS786480 FUI786480:FUO786480 GEE786480:GEK786480 GOA786480:GOG786480 GXW786480:GYC786480 HHS786480:HHY786480 HRO786480:HRU786480 IBK786480:IBQ786480 ILG786480:ILM786480 IVC786480:IVI786480 JEY786480:JFE786480 JOU786480:JPA786480 JYQ786480:JYW786480 KIM786480:KIS786480 KSI786480:KSO786480 LCE786480:LCK786480 LMA786480:LMG786480 LVW786480:LWC786480 MFS786480:MFY786480 MPO786480:MPU786480 MZK786480:MZQ786480 NJG786480:NJM786480 NTC786480:NTI786480 OCY786480:ODE786480 OMU786480:ONA786480 OWQ786480:OWW786480 PGM786480:PGS786480 PQI786480:PQO786480 QAE786480:QAK786480 QKA786480:QKG786480 QTW786480:QUC786480 RDS786480:RDY786480 RNO786480:RNU786480 RXK786480:RXQ786480 SHG786480:SHM786480 SRC786480:SRI786480 TAY786480:TBE786480 TKU786480:TLA786480 TUQ786480:TUW786480 UEM786480:UES786480 UOI786480:UOO786480 UYE786480:UYK786480 VIA786480:VIG786480 VRW786480:VSC786480 WBS786480:WBY786480 WLO786480:WLU786480 WVK786480:WVQ786480 C852022:I852022 IY852016:JE852016 SU852016:TA852016 ACQ852016:ACW852016 AMM852016:AMS852016 AWI852016:AWO852016 BGE852016:BGK852016 BQA852016:BQG852016 BZW852016:CAC852016 CJS852016:CJY852016 CTO852016:CTU852016 DDK852016:DDQ852016 DNG852016:DNM852016 DXC852016:DXI852016 EGY852016:EHE852016 EQU852016:ERA852016 FAQ852016:FAW852016 FKM852016:FKS852016 FUI852016:FUO852016 GEE852016:GEK852016 GOA852016:GOG852016 GXW852016:GYC852016 HHS852016:HHY852016 HRO852016:HRU852016 IBK852016:IBQ852016 ILG852016:ILM852016 IVC852016:IVI852016 JEY852016:JFE852016 JOU852016:JPA852016 JYQ852016:JYW852016 KIM852016:KIS852016 KSI852016:KSO852016 LCE852016:LCK852016 LMA852016:LMG852016 LVW852016:LWC852016 MFS852016:MFY852016 MPO852016:MPU852016 MZK852016:MZQ852016 NJG852016:NJM852016 NTC852016:NTI852016 OCY852016:ODE852016 OMU852016:ONA852016 OWQ852016:OWW852016 PGM852016:PGS852016 PQI852016:PQO852016 QAE852016:QAK852016 QKA852016:QKG852016 QTW852016:QUC852016 RDS852016:RDY852016 RNO852016:RNU852016 RXK852016:RXQ852016 SHG852016:SHM852016 SRC852016:SRI852016 TAY852016:TBE852016 TKU852016:TLA852016 TUQ852016:TUW852016 UEM852016:UES852016 UOI852016:UOO852016 UYE852016:UYK852016 VIA852016:VIG852016 VRW852016:VSC852016 WBS852016:WBY852016 WLO852016:WLU852016 WVK852016:WVQ852016 C917558:I917558 IY917552:JE917552 SU917552:TA917552 ACQ917552:ACW917552 AMM917552:AMS917552 AWI917552:AWO917552 BGE917552:BGK917552 BQA917552:BQG917552 BZW917552:CAC917552 CJS917552:CJY917552 CTO917552:CTU917552 DDK917552:DDQ917552 DNG917552:DNM917552 DXC917552:DXI917552 EGY917552:EHE917552 EQU917552:ERA917552 FAQ917552:FAW917552 FKM917552:FKS917552 FUI917552:FUO917552 GEE917552:GEK917552 GOA917552:GOG917552 GXW917552:GYC917552 HHS917552:HHY917552 HRO917552:HRU917552 IBK917552:IBQ917552 ILG917552:ILM917552 IVC917552:IVI917552 JEY917552:JFE917552 JOU917552:JPA917552 JYQ917552:JYW917552 KIM917552:KIS917552 KSI917552:KSO917552 LCE917552:LCK917552 LMA917552:LMG917552 LVW917552:LWC917552 MFS917552:MFY917552 MPO917552:MPU917552 MZK917552:MZQ917552 NJG917552:NJM917552 NTC917552:NTI917552 OCY917552:ODE917552 OMU917552:ONA917552 OWQ917552:OWW917552 PGM917552:PGS917552 PQI917552:PQO917552 QAE917552:QAK917552 QKA917552:QKG917552 QTW917552:QUC917552 RDS917552:RDY917552 RNO917552:RNU917552 RXK917552:RXQ917552 SHG917552:SHM917552 SRC917552:SRI917552 TAY917552:TBE917552 TKU917552:TLA917552 TUQ917552:TUW917552 UEM917552:UES917552 UOI917552:UOO917552 UYE917552:UYK917552 VIA917552:VIG917552 VRW917552:VSC917552 WBS917552:WBY917552 WLO917552:WLU917552 WVK917552:WVQ917552 C983094:I983094 IY983088:JE983088 SU983088:TA983088 ACQ983088:ACW983088 AMM983088:AMS983088 AWI983088:AWO983088 BGE983088:BGK983088 BQA983088:BQG983088 BZW983088:CAC983088 CJS983088:CJY983088 CTO983088:CTU983088 DDK983088:DDQ983088 DNG983088:DNM983088 DXC983088:DXI983088 EGY983088:EHE983088 EQU983088:ERA983088 FAQ983088:FAW983088 FKM983088:FKS983088 FUI983088:FUO983088 GEE983088:GEK983088 GOA983088:GOG983088 GXW983088:GYC983088 HHS983088:HHY983088 HRO983088:HRU983088 IBK983088:IBQ983088 ILG983088:ILM983088 IVC983088:IVI983088 JEY983088:JFE983088 JOU983088:JPA983088 JYQ983088:JYW983088 KIM983088:KIS983088 KSI983088:KSO983088 LCE983088:LCK983088 LMA983088:LMG983088 LVW983088:LWC983088 MFS983088:MFY983088 MPO983088:MPU983088 MZK983088:MZQ983088 NJG983088:NJM983088 NTC983088:NTI983088 OCY983088:ODE983088 OMU983088:ONA983088 OWQ983088:OWW983088 PGM983088:PGS983088 PQI983088:PQO983088 QAE983088:QAK983088 QKA983088:QKG983088 QTW983088:QUC983088 RDS983088:RDY983088 RNO983088:RNU983088 RXK983088:RXQ983088 SHG983088:SHM983088 SRC983088:SRI983088 TAY983088:TBE983088 TKU983088:TLA983088 TUQ983088:TUW983088 UEM983088:UES983088 UOI983088:UOO983088 UYE983088:UYK983088 VIA983088:VIG983088 VRW983088:VSC983088 WBS983088:WBY983088 WLO983088:WLU983088">
      <formula1>Visit_types</formula1>
    </dataValidation>
    <dataValidation type="list" allowBlank="1" showInputMessage="1" showErrorMessage="1" sqref="B140">
      <formula1>$B$73:$B$162</formula1>
    </dataValidation>
    <dataValidation showInputMessage="1" sqref="B98 B104"/>
    <dataValidation type="list" showInputMessage="1" sqref="B99:B103 B111:B115 B93:B97">
      <formula1>$B$66:$B$77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'Unit costs'!$B$25:$B$66</xm:f>
          </x14:formula1>
          <xm:sqref>B17:B31</xm:sqref>
        </x14:dataValidation>
        <x14:dataValidation type="list" allowBlank="1" showInputMessage="1" showErrorMessage="1">
          <x14:formula1>
            <xm:f>'Unit costs'!$B$178:$B$206</xm:f>
          </x14:formula1>
          <xm:sqref>B56:B70</xm:sqref>
        </x14:dataValidation>
        <x14:dataValidation type="list" allowBlank="1" showInputMessage="1" showErrorMessage="1">
          <x14:formula1>
            <xm:f>'Unit costs'!$B$86:$B$173</xm:f>
          </x14:formula1>
          <xm:sqref>B162</xm:sqref>
        </x14:dataValidation>
        <x14:dataValidation type="list" showInputMessage="1">
          <x14:formula1>
            <xm:f>'Drop Down Master List'!$G$3:$G$87</xm:f>
          </x14:formula1>
          <xm:sqref>B120:B139</xm:sqref>
        </x14:dataValidation>
        <x14:dataValidation type="list" showInputMessage="1">
          <x14:formula1>
            <xm:f>'Unit costs'!$B$72:$B$83</xm:f>
          </x14:formula1>
          <xm:sqref>B105:B109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184"/>
  <sheetViews>
    <sheetView showGridLines="0" workbookViewId="0">
      <selection activeCell="F5" sqref="F5"/>
    </sheetView>
  </sheetViews>
  <sheetFormatPr defaultRowHeight="15" x14ac:dyDescent="0.25"/>
  <cols>
    <col min="1" max="1" width="4.7109375" style="113" customWidth="1"/>
    <col min="2" max="2" width="48.42578125" style="120" customWidth="1"/>
    <col min="3" max="12" width="15.7109375" style="120" customWidth="1"/>
    <col min="13" max="13" width="9.85546875" style="120" customWidth="1"/>
    <col min="14" max="15" width="10.28515625" style="120" customWidth="1"/>
    <col min="16" max="16" width="9.42578125" style="120" customWidth="1"/>
    <col min="17" max="256" width="8.8554687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8.8554687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8.8554687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8.8554687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8.8554687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8.8554687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8.8554687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8.8554687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8.8554687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8.8554687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8.8554687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8.8554687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8.8554687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8.8554687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8.8554687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8.8554687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8.8554687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8.8554687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8.8554687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8.8554687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8.8554687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8.8554687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8.8554687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8.8554687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8.8554687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8.8554687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8.8554687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8.8554687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8.8554687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8.8554687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8.8554687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8.8554687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8.8554687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8.8554687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8.8554687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8.8554687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8.8554687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8.8554687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8.8554687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8.8554687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8.8554687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8.8554687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8.8554687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8.8554687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8.8554687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8.8554687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8.8554687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8.8554687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8.8554687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8.8554687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8.8554687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8.8554687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8.8554687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8.8554687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8.8554687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8.8554687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8.8554687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8.8554687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8.8554687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8.8554687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8.8554687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8.8554687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8.8554687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8.8554687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x14ac:dyDescent="0.25">
      <c r="A5" s="119"/>
      <c r="B5" s="110"/>
      <c r="C5" s="211"/>
      <c r="D5" s="211"/>
      <c r="E5" s="212"/>
      <c r="F5" s="111"/>
      <c r="G5" s="111"/>
      <c r="H5" s="111"/>
      <c r="I5" s="111"/>
      <c r="J5" s="119"/>
      <c r="K5" s="119"/>
      <c r="L5" s="119"/>
      <c r="M5" s="119"/>
      <c r="N5" s="119"/>
      <c r="O5" s="119"/>
      <c r="P5" s="119"/>
    </row>
    <row r="6" spans="1:49" s="112" customFormat="1" ht="22.9" customHeight="1" x14ac:dyDescent="0.25">
      <c r="B6" s="473" t="s">
        <v>324</v>
      </c>
      <c r="C6" s="474"/>
      <c r="D6" s="474"/>
      <c r="E6" s="474"/>
      <c r="F6" s="474"/>
      <c r="G6" s="474"/>
      <c r="H6" s="474"/>
      <c r="I6" s="119"/>
      <c r="J6" s="119"/>
      <c r="K6" s="119"/>
      <c r="L6" s="119"/>
      <c r="M6" s="119"/>
      <c r="N6" s="119"/>
      <c r="O6" s="119"/>
    </row>
    <row r="7" spans="1:49" s="112" customFormat="1" ht="18.600000000000001" customHeight="1" x14ac:dyDescent="0.25">
      <c r="B7" s="213" t="s">
        <v>222</v>
      </c>
      <c r="C7" s="214" t="s">
        <v>70</v>
      </c>
      <c r="D7" s="215" t="s">
        <v>223</v>
      </c>
      <c r="E7" s="216" t="s">
        <v>224</v>
      </c>
      <c r="F7" s="217" t="s">
        <v>439</v>
      </c>
      <c r="G7" s="217" t="s">
        <v>225</v>
      </c>
      <c r="H7" s="218" t="s">
        <v>321</v>
      </c>
      <c r="I7" s="109"/>
      <c r="J7" s="119"/>
      <c r="K7" s="119"/>
      <c r="L7" s="119"/>
      <c r="M7" s="119"/>
      <c r="N7" s="119"/>
      <c r="O7" s="119"/>
      <c r="P7" s="119"/>
    </row>
    <row r="8" spans="1:49" s="112" customFormat="1" x14ac:dyDescent="0.25">
      <c r="B8" s="219" t="str">
        <f>'Set up'!B18</f>
        <v>Abbott M2000 RealTime</v>
      </c>
      <c r="C8" s="350">
        <f>IFERROR(SUM(C$34:C$48),"")</f>
        <v>4.2271629089143586E-2</v>
      </c>
      <c r="D8" s="350">
        <f>IFERROR(SUM(C$72:C$86),"")</f>
        <v>1.2672910163024629E-3</v>
      </c>
      <c r="E8" s="350">
        <f>IFERROR(SUM(C$144:C$165),"")</f>
        <v>7.9049721820385735E-2</v>
      </c>
      <c r="F8" s="350">
        <f>IFERROR(SUM($H94:$H98),"")</f>
        <v>0.16613346026966591</v>
      </c>
      <c r="G8" s="357">
        <f>IFERROR(SUM(C$171:C$180),"")</f>
        <v>0</v>
      </c>
      <c r="H8" s="336">
        <f>SUM(C8:G8)</f>
        <v>0.28872210219549771</v>
      </c>
      <c r="I8" s="109"/>
      <c r="J8" s="119"/>
      <c r="K8" s="119"/>
      <c r="L8" s="119"/>
      <c r="M8" s="119"/>
      <c r="N8" s="119"/>
      <c r="O8" s="119"/>
      <c r="P8" s="119"/>
    </row>
    <row r="9" spans="1:49" s="112" customFormat="1" x14ac:dyDescent="0.25">
      <c r="B9" s="219" t="str">
        <f>'Set up'!B19</f>
        <v>Abbott M2000 RealTime</v>
      </c>
      <c r="C9" s="350">
        <f>IFERROR(SUM(D$34:D$48),"")</f>
        <v>4.2271629089143586E-2</v>
      </c>
      <c r="D9" s="350">
        <f>IFERROR(SUM(D$72:D$86),"")</f>
        <v>1.2672910163024629E-3</v>
      </c>
      <c r="E9" s="350">
        <f>IFERROR(SUM(D$144:D$165),"")</f>
        <v>7.9049721820385735E-2</v>
      </c>
      <c r="F9" s="350">
        <f>IFERROR(SUM($H100:$H104),"")</f>
        <v>0.16613346026966591</v>
      </c>
      <c r="G9" s="357">
        <f>IFERROR(SUM(D$171:D$180),"")</f>
        <v>0</v>
      </c>
      <c r="H9" s="336">
        <f>SUM(C9:G9)</f>
        <v>0.28872210219549771</v>
      </c>
      <c r="I9" s="109"/>
      <c r="J9" s="119"/>
      <c r="K9" s="119"/>
      <c r="L9" s="119"/>
      <c r="M9" s="119"/>
      <c r="N9" s="119"/>
      <c r="O9" s="119"/>
      <c r="P9" s="119"/>
    </row>
    <row r="10" spans="1:49" s="112" customFormat="1" x14ac:dyDescent="0.25">
      <c r="B10" s="219" t="str">
        <f>'Set up'!B20</f>
        <v>Roche COBAS Ampliprep/TaqMan 48</v>
      </c>
      <c r="C10" s="350">
        <f>IFERROR(SUM(E$34:E$48),"")</f>
        <v>0.18720292882335021</v>
      </c>
      <c r="D10" s="350">
        <f>IFERROR(SUM(E$72:E$86),"")</f>
        <v>6.2136054421768703E-3</v>
      </c>
      <c r="E10" s="350">
        <f>IFERROR(SUM(E$144:E$165),"")</f>
        <v>0.35007733949027964</v>
      </c>
      <c r="F10" s="350">
        <f>IFERROR(SUM($H106:$H110),"")</f>
        <v>0.4464285714285714</v>
      </c>
      <c r="G10" s="357">
        <f>IFERROR(SUM(E$171:E$180),"")</f>
        <v>0</v>
      </c>
      <c r="H10" s="336">
        <f>SUM(C10:G10)</f>
        <v>0.98992244518437811</v>
      </c>
      <c r="I10" s="111"/>
      <c r="J10" s="119"/>
      <c r="K10" s="119"/>
      <c r="L10" s="119"/>
      <c r="M10" s="119"/>
      <c r="N10" s="119"/>
      <c r="O10" s="119"/>
      <c r="P10" s="119"/>
    </row>
    <row r="11" spans="1:49" s="112" customFormat="1" x14ac:dyDescent="0.25">
      <c r="B11" s="219" t="str">
        <f>'Set up'!B21</f>
        <v>Roche COBAS Ampliprep/TaqMan 48</v>
      </c>
      <c r="C11" s="350">
        <f>IFERROR(SUM(F$34:F$48),"")</f>
        <v>0.18720292882335021</v>
      </c>
      <c r="D11" s="350">
        <f>IFERROR(SUM(F$72:F$86),"")</f>
        <v>6.2136054421768703E-3</v>
      </c>
      <c r="E11" s="350">
        <f>IFERROR(SUM(F$144:F$165),"")</f>
        <v>0.35007733949027964</v>
      </c>
      <c r="F11" s="350">
        <f>IFERROR(SUM($H112:$H116),"")</f>
        <v>0.4464285714285714</v>
      </c>
      <c r="G11" s="357">
        <f>IFERROR(SUM(F$171:F$180),"")</f>
        <v>0</v>
      </c>
      <c r="H11" s="336">
        <f t="shared" ref="H11" si="0">SUM(C11:G11)</f>
        <v>0.98992244518437811</v>
      </c>
      <c r="I11" s="111"/>
      <c r="J11" s="119"/>
      <c r="K11" s="119"/>
      <c r="L11" s="119"/>
      <c r="M11" s="119"/>
      <c r="N11" s="119"/>
      <c r="O11" s="119"/>
      <c r="P11" s="119"/>
    </row>
    <row r="12" spans="1:49" s="112" customFormat="1" x14ac:dyDescent="0.25">
      <c r="B12" s="211"/>
      <c r="C12" s="211"/>
      <c r="D12" s="211"/>
      <c r="E12" s="220"/>
      <c r="F12" s="111"/>
      <c r="G12" s="111"/>
      <c r="H12" s="111"/>
      <c r="I12" s="111"/>
      <c r="J12" s="119"/>
      <c r="K12" s="119"/>
      <c r="L12" s="119"/>
      <c r="M12" s="119"/>
      <c r="N12" s="119"/>
      <c r="O12" s="119"/>
      <c r="P12" s="119"/>
    </row>
    <row r="13" spans="1:49" s="112" customFormat="1" ht="20.45" customHeight="1" x14ac:dyDescent="0.25">
      <c r="B13" s="445" t="s">
        <v>72</v>
      </c>
      <c r="C13" s="445"/>
      <c r="D13" s="445"/>
      <c r="E13" s="445"/>
      <c r="F13" s="445"/>
      <c r="G13" s="445"/>
      <c r="H13" s="445"/>
      <c r="I13" s="445"/>
      <c r="J13" s="445"/>
      <c r="K13" s="445"/>
      <c r="L13" s="445"/>
      <c r="M13" s="207"/>
      <c r="N13" s="207"/>
      <c r="O13" s="207"/>
      <c r="P13" s="207"/>
    </row>
    <row r="14" spans="1:49" s="112" customFormat="1" x14ac:dyDescent="0.25">
      <c r="B14" s="211"/>
      <c r="C14" s="211"/>
      <c r="D14" s="211"/>
      <c r="E14" s="220"/>
      <c r="F14" s="111"/>
      <c r="G14" s="111"/>
      <c r="H14" s="111"/>
      <c r="I14" s="111"/>
      <c r="J14" s="119"/>
      <c r="K14" s="119"/>
      <c r="L14" s="119"/>
      <c r="M14" s="119"/>
      <c r="N14" s="119"/>
      <c r="O14" s="119"/>
      <c r="P14" s="119"/>
    </row>
    <row r="15" spans="1:49" s="112" customFormat="1" x14ac:dyDescent="0.25">
      <c r="B15" s="221" t="s">
        <v>226</v>
      </c>
      <c r="C15" s="222"/>
      <c r="D15" s="223"/>
      <c r="E15" s="223"/>
      <c r="H15" s="465"/>
      <c r="I15" s="465"/>
      <c r="J15" s="465"/>
      <c r="K15" s="465"/>
      <c r="L15" s="465"/>
      <c r="M15" s="447"/>
      <c r="N15" s="447"/>
    </row>
    <row r="16" spans="1:49" s="228" customFormat="1" ht="45.6" customHeight="1" x14ac:dyDescent="0.25">
      <c r="A16" s="224"/>
      <c r="B16" s="225" t="s">
        <v>319</v>
      </c>
      <c r="C16" s="245" t="str">
        <f>'Set up'!B18</f>
        <v>Abbott M2000 RealTime</v>
      </c>
      <c r="D16" s="245" t="str">
        <f>'Set up'!B19</f>
        <v>Abbott M2000 RealTime</v>
      </c>
      <c r="E16" s="245" t="str">
        <f>'Set up'!B20</f>
        <v>Roche COBAS Ampliprep/TaqMan 48</v>
      </c>
      <c r="F16" s="245" t="str">
        <f>'Set up'!B21</f>
        <v>Roche COBAS Ampliprep/TaqMan 48</v>
      </c>
      <c r="G16" s="227"/>
      <c r="H16" s="227"/>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row>
    <row r="17" spans="2:40" x14ac:dyDescent="0.25">
      <c r="B17" s="62" t="s">
        <v>13</v>
      </c>
      <c r="C17" s="11"/>
      <c r="D17" s="11"/>
      <c r="E17" s="11"/>
      <c r="F17" s="11"/>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row>
    <row r="18" spans="2:40" x14ac:dyDescent="0.25">
      <c r="B18" s="62" t="s">
        <v>15</v>
      </c>
      <c r="C18" s="11"/>
      <c r="D18" s="11"/>
      <c r="E18" s="11"/>
      <c r="F18" s="11"/>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row>
    <row r="19" spans="2:40" x14ac:dyDescent="0.25">
      <c r="B19" s="62" t="s">
        <v>16</v>
      </c>
      <c r="C19" s="11"/>
      <c r="D19" s="11"/>
      <c r="E19" s="11"/>
      <c r="F19" s="11"/>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row>
    <row r="20" spans="2:40" x14ac:dyDescent="0.25">
      <c r="B20" s="62" t="s">
        <v>21</v>
      </c>
      <c r="C20" s="11">
        <v>3</v>
      </c>
      <c r="D20" s="11">
        <v>3</v>
      </c>
      <c r="E20" s="11">
        <v>3</v>
      </c>
      <c r="F20" s="11">
        <v>3</v>
      </c>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row>
    <row r="21" spans="2:40" x14ac:dyDescent="0.25">
      <c r="B21" s="62" t="s">
        <v>23</v>
      </c>
      <c r="C21" s="11">
        <v>5</v>
      </c>
      <c r="D21" s="11">
        <v>5</v>
      </c>
      <c r="E21" s="11">
        <v>5</v>
      </c>
      <c r="F21" s="11">
        <v>5</v>
      </c>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row>
    <row r="22" spans="2:40" x14ac:dyDescent="0.25">
      <c r="B22" s="62" t="s">
        <v>20</v>
      </c>
      <c r="C22" s="11">
        <v>1</v>
      </c>
      <c r="D22" s="11">
        <v>1</v>
      </c>
      <c r="E22" s="11">
        <v>1</v>
      </c>
      <c r="F22" s="11">
        <v>1</v>
      </c>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row>
    <row r="23" spans="2:40" x14ac:dyDescent="0.25">
      <c r="B23" s="62" t="s">
        <v>24</v>
      </c>
      <c r="C23" s="11">
        <v>1</v>
      </c>
      <c r="D23" s="11">
        <v>1</v>
      </c>
      <c r="E23" s="11">
        <v>1</v>
      </c>
      <c r="F23" s="11">
        <v>1</v>
      </c>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row>
    <row r="24" spans="2:40" x14ac:dyDescent="0.25">
      <c r="B24" s="62" t="s">
        <v>100</v>
      </c>
      <c r="C24" s="11"/>
      <c r="D24" s="11"/>
      <c r="E24" s="11"/>
      <c r="F24" s="11"/>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row>
    <row r="25" spans="2:40" x14ac:dyDescent="0.25">
      <c r="B25" s="62" t="s">
        <v>100</v>
      </c>
      <c r="C25" s="11"/>
      <c r="D25" s="11"/>
      <c r="E25" s="11"/>
      <c r="F25" s="11"/>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row>
    <row r="26" spans="2:40" x14ac:dyDescent="0.25">
      <c r="B26" s="62" t="s">
        <v>100</v>
      </c>
      <c r="C26" s="11"/>
      <c r="D26" s="11"/>
      <c r="E26" s="11"/>
      <c r="F26" s="11"/>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row>
    <row r="27" spans="2:40" x14ac:dyDescent="0.25">
      <c r="B27" s="62" t="s">
        <v>100</v>
      </c>
      <c r="C27" s="11"/>
      <c r="D27" s="11"/>
      <c r="E27" s="11"/>
      <c r="F27" s="11"/>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row>
    <row r="28" spans="2:40" x14ac:dyDescent="0.25">
      <c r="B28" s="62" t="s">
        <v>100</v>
      </c>
      <c r="C28" s="11"/>
      <c r="D28" s="11"/>
      <c r="E28" s="11"/>
      <c r="F28" s="11"/>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row>
    <row r="29" spans="2:40" x14ac:dyDescent="0.25">
      <c r="B29" s="62" t="s">
        <v>100</v>
      </c>
      <c r="C29" s="11"/>
      <c r="D29" s="11"/>
      <c r="E29" s="11"/>
      <c r="F29" s="11"/>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row>
    <row r="30" spans="2:40" x14ac:dyDescent="0.25">
      <c r="B30" s="62" t="s">
        <v>100</v>
      </c>
      <c r="C30" s="11"/>
      <c r="D30" s="11"/>
      <c r="E30" s="11"/>
      <c r="F30" s="11"/>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row>
    <row r="31" spans="2:40" x14ac:dyDescent="0.25">
      <c r="B31" s="62" t="s">
        <v>100</v>
      </c>
      <c r="C31" s="11"/>
      <c r="D31" s="11"/>
      <c r="E31" s="11"/>
      <c r="F31" s="11"/>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row>
    <row r="32" spans="2:40" x14ac:dyDescent="0.25">
      <c r="B32" s="55"/>
      <c r="C32" s="56"/>
      <c r="D32" s="56"/>
      <c r="E32" s="56"/>
      <c r="F32" s="56"/>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row>
    <row r="33" spans="2:40" x14ac:dyDescent="0.25">
      <c r="B33" s="221" t="s">
        <v>506</v>
      </c>
      <c r="C33" s="56"/>
      <c r="D33" s="56"/>
      <c r="E33" s="56"/>
      <c r="F33" s="56"/>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row>
    <row r="34" spans="2:40" x14ac:dyDescent="0.25">
      <c r="B34" s="10" t="str">
        <f t="shared" ref="B34:B48" si="1">B17</f>
        <v>Nurse</v>
      </c>
      <c r="C34" s="340">
        <f>IFERROR((((VLOOKUP($B34,'Unit costs'!$B$25:$I$66,8,FALSE))*C17/60))*('Set up'!$F$18/'Set up'!$E$18),"")</f>
        <v>0</v>
      </c>
      <c r="D34" s="340">
        <f>IFERROR((((VLOOKUP($B34,'Unit costs'!$B$25:$I$66,8,FALSE))*D17/60))*('Set up'!$F$19/'Set up'!$E$19),"")</f>
        <v>0</v>
      </c>
      <c r="E34" s="340">
        <f>IFERROR((((VLOOKUP($B34,'Unit costs'!$B$25:$I$66,8,FALSE))*E17/60))*('Set up'!$F$20/'Set up'!$E$20),"")</f>
        <v>0</v>
      </c>
      <c r="F34" s="340">
        <f>IFERROR((((VLOOKUP($B34,'Unit costs'!$B$25:$I$66,8,FALSE))*F17/60))*('Set up'!$F$21/'Set up'!$E$21),"")</f>
        <v>0</v>
      </c>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row>
    <row r="35" spans="2:40" x14ac:dyDescent="0.25">
      <c r="B35" s="10" t="str">
        <f t="shared" si="1"/>
        <v>Doctor</v>
      </c>
      <c r="C35" s="340">
        <f>IFERROR((((VLOOKUP($B35,'Unit costs'!$B$25:$I$66,8,FALSE))*C18/60))*('Set up'!$F$18/'Set up'!$E$18),"")</f>
        <v>0</v>
      </c>
      <c r="D35" s="340">
        <f>IFERROR((((VLOOKUP($B35,'Unit costs'!$B$25:$I$66,8,FALSE))*D18/60))*('Set up'!$F$19/'Set up'!$E$19),"")</f>
        <v>0</v>
      </c>
      <c r="E35" s="340">
        <f>IFERROR((((VLOOKUP($B35,'Unit costs'!$B$25:$I$66,8,FALSE))*E18/60))*('Set up'!$F$20/'Set up'!$E$20),"")</f>
        <v>0</v>
      </c>
      <c r="F35" s="340">
        <f>IFERROR((((VLOOKUP($B35,'Unit costs'!$B$25:$I$66,8,FALSE))*F18/60))*('Set up'!$F$21/'Set up'!$E$21),"")</f>
        <v>0</v>
      </c>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row>
    <row r="36" spans="2:40" x14ac:dyDescent="0.25">
      <c r="B36" s="10" t="str">
        <f t="shared" si="1"/>
        <v>Clinical Officer</v>
      </c>
      <c r="C36" s="340">
        <f>IFERROR((((VLOOKUP($B36,'Unit costs'!$B$25:$I$66,8,FALSE))*C19/60))*('Set up'!$F$18/'Set up'!$E$18),"")</f>
        <v>0</v>
      </c>
      <c r="D36" s="340">
        <f>IFERROR((((VLOOKUP($B36,'Unit costs'!$B$25:$I$66,8,FALSE))*D19/60))*('Set up'!$F$19/'Set up'!$E$19),"")</f>
        <v>0</v>
      </c>
      <c r="E36" s="340">
        <f>IFERROR((((VLOOKUP($B36,'Unit costs'!$B$25:$I$66,8,FALSE))*E19/60))*('Set up'!$F$20/'Set up'!$E$20),"")</f>
        <v>0</v>
      </c>
      <c r="F36" s="340">
        <f>IFERROR((((VLOOKUP($B36,'Unit costs'!$B$25:$I$66,8,FALSE))*F19/60))*('Set up'!$F$21/'Set up'!$E$21),"")</f>
        <v>0</v>
      </c>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row>
    <row r="37" spans="2:40" x14ac:dyDescent="0.25">
      <c r="B37" s="10" t="str">
        <f t="shared" si="1"/>
        <v>Data Clerk</v>
      </c>
      <c r="C37" s="340">
        <f>IFERROR((((VLOOKUP($B37,'Unit costs'!$B$25:$I$66,8,FALSE))*C20/60))*('Set up'!$F$18/'Set up'!$E$18),"")</f>
        <v>3.8274622339609264E-3</v>
      </c>
      <c r="D37" s="340">
        <f>IFERROR((((VLOOKUP($B37,'Unit costs'!$B$25:$I$66,8,FALSE))*D20/60))*('Set up'!$F$19/'Set up'!$E$19),"")</f>
        <v>3.8274622339609264E-3</v>
      </c>
      <c r="E37" s="340">
        <f>IFERROR((((VLOOKUP($B37,'Unit costs'!$B$25:$I$66,8,FALSE))*E20/60))*('Set up'!$F$20/'Set up'!$E$20),"")</f>
        <v>1.6950189893255529E-2</v>
      </c>
      <c r="F37" s="340">
        <f>IFERROR((((VLOOKUP($B37,'Unit costs'!$B$25:$I$66,8,FALSE))*F20/60))*('Set up'!$F$21/'Set up'!$E$21),"")</f>
        <v>1.6950189893255529E-2</v>
      </c>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row>
    <row r="38" spans="2:40" x14ac:dyDescent="0.25">
      <c r="B38" s="10" t="str">
        <f t="shared" si="1"/>
        <v>Assistant Research Officer</v>
      </c>
      <c r="C38" s="340">
        <f>IFERROR((((VLOOKUP($B38,'Unit costs'!$B$25:$I$66,8,FALSE))*C21/60))*('Set up'!$F$18/'Set up'!$E$18),"")</f>
        <v>2.5516430051523296E-2</v>
      </c>
      <c r="D38" s="340">
        <f>IFERROR((((VLOOKUP($B38,'Unit costs'!$B$25:$I$66,8,FALSE))*D21/60))*('Set up'!$F$19/'Set up'!$E$19),"")</f>
        <v>2.5516430051523296E-2</v>
      </c>
      <c r="E38" s="340">
        <f>IFERROR((((VLOOKUP($B38,'Unit costs'!$B$25:$I$66,8,FALSE))*E21/60))*('Set up'!$F$20/'Set up'!$E$20),"")</f>
        <v>0.11300133308531746</v>
      </c>
      <c r="F38" s="340">
        <f>IFERROR((((VLOOKUP($B38,'Unit costs'!$B$25:$I$66,8,FALSE))*F21/60))*('Set up'!$F$21/'Set up'!$E$21),"")</f>
        <v>0.11300133308531746</v>
      </c>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row>
    <row r="39" spans="2:40" x14ac:dyDescent="0.25">
      <c r="B39" s="10" t="str">
        <f t="shared" si="1"/>
        <v>Lab technologist</v>
      </c>
      <c r="C39" s="340">
        <f>IFERROR((((VLOOKUP($B39,'Unit costs'!$B$25:$I$66,8,FALSE))*C22/60))*('Set up'!$F$18/'Set up'!$E$18),"")</f>
        <v>4.1792469403081163E-3</v>
      </c>
      <c r="D39" s="340">
        <f>IFERROR((((VLOOKUP($B39,'Unit costs'!$B$25:$I$66,8,FALSE))*D22/60))*('Set up'!$F$19/'Set up'!$E$19),"")</f>
        <v>4.1792469403081163E-3</v>
      </c>
      <c r="E39" s="340">
        <f>IFERROR((((VLOOKUP($B39,'Unit costs'!$B$25:$I$66,8,FALSE))*E22/60))*('Set up'!$F$20/'Set up'!$E$20),"")</f>
        <v>1.8508093592793085E-2</v>
      </c>
      <c r="F39" s="340">
        <f>IFERROR((((VLOOKUP($B39,'Unit costs'!$B$25:$I$66,8,FALSE))*F22/60))*('Set up'!$F$21/'Set up'!$E$21),"")</f>
        <v>1.8508093592793085E-2</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row>
    <row r="40" spans="2:40" x14ac:dyDescent="0.25">
      <c r="B40" s="10" t="str">
        <f t="shared" si="1"/>
        <v>Program Managers</v>
      </c>
      <c r="C40" s="340">
        <f>IFERROR((((VLOOKUP($B40,'Unit costs'!$B$25:$I$66,8,FALSE))*C23/60))*('Set up'!$F$18/'Set up'!$E$18),"")</f>
        <v>8.7484898633512533E-3</v>
      </c>
      <c r="D40" s="340">
        <f>IFERROR((((VLOOKUP($B40,'Unit costs'!$B$25:$I$66,8,FALSE))*D23/60))*('Set up'!$F$19/'Set up'!$E$19),"")</f>
        <v>8.7484898633512533E-3</v>
      </c>
      <c r="E40" s="340">
        <f>IFERROR((((VLOOKUP($B40,'Unit costs'!$B$25:$I$66,8,FALSE))*E23/60))*('Set up'!$F$20/'Set up'!$E$20),"")</f>
        <v>3.8743312251984123E-2</v>
      </c>
      <c r="F40" s="340">
        <f>IFERROR((((VLOOKUP($B40,'Unit costs'!$B$25:$I$66,8,FALSE))*F23/60))*('Set up'!$F$21/'Set up'!$E$21),"")</f>
        <v>3.8743312251984123E-2</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row>
    <row r="41" spans="2:40" x14ac:dyDescent="0.25">
      <c r="B41" s="10" t="str">
        <f t="shared" si="1"/>
        <v>Other personnel</v>
      </c>
      <c r="C41" s="340">
        <f>IFERROR((((VLOOKUP($B41,'Unit costs'!$B$25:$I$66,8,FALSE))*C24/60))*('Set up'!$F$18/'Set up'!$E$18),"")</f>
        <v>0</v>
      </c>
      <c r="D41" s="340">
        <f>IFERROR((((VLOOKUP($B41,'Unit costs'!$B$25:$I$66,8,FALSE))*D24/60))*('Set up'!$F$19/'Set up'!$E$19),"")</f>
        <v>0</v>
      </c>
      <c r="E41" s="340">
        <f>IFERROR((((VLOOKUP($B41,'Unit costs'!$B$25:$I$66,8,FALSE))*E24/60))*('Set up'!$F$20/'Set up'!$E$20),"")</f>
        <v>0</v>
      </c>
      <c r="F41" s="340">
        <f>IFERROR((((VLOOKUP($B41,'Unit costs'!$B$25:$I$66,8,FALSE))*F24/60))*('Set up'!$F$21/'Set up'!$E$21),"")</f>
        <v>0</v>
      </c>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row>
    <row r="42" spans="2:40" x14ac:dyDescent="0.25">
      <c r="B42" s="10" t="str">
        <f t="shared" si="1"/>
        <v>Other personnel</v>
      </c>
      <c r="C42" s="340">
        <f>IFERROR((((VLOOKUP($B42,'Unit costs'!$B$25:$I$66,8,FALSE))*C25/60))*('Set up'!$F$18/'Set up'!$E$18),"")</f>
        <v>0</v>
      </c>
      <c r="D42" s="340">
        <f>IFERROR((((VLOOKUP($B42,'Unit costs'!$B$25:$I$66,8,FALSE))*D25/60))*('Set up'!$F$19/'Set up'!$E$19),"")</f>
        <v>0</v>
      </c>
      <c r="E42" s="340">
        <f>IFERROR((((VLOOKUP($B42,'Unit costs'!$B$25:$I$66,8,FALSE))*E25/60))*('Set up'!$F$20/'Set up'!$E$20),"")</f>
        <v>0</v>
      </c>
      <c r="F42" s="340">
        <f>IFERROR((((VLOOKUP($B42,'Unit costs'!$B$25:$I$66,8,FALSE))*F25/60))*('Set up'!$F$21/'Set up'!$E$21),"")</f>
        <v>0</v>
      </c>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row>
    <row r="43" spans="2:40" x14ac:dyDescent="0.25">
      <c r="B43" s="10" t="str">
        <f t="shared" si="1"/>
        <v>Other personnel</v>
      </c>
      <c r="C43" s="340">
        <f>IFERROR((((VLOOKUP($B43,'Unit costs'!$B$25:$I$66,8,FALSE))*C26/60))*('Set up'!$F$18/'Set up'!$E$18),"")</f>
        <v>0</v>
      </c>
      <c r="D43" s="340">
        <f>IFERROR((((VLOOKUP($B43,'Unit costs'!$B$25:$I$66,8,FALSE))*D26/60))*('Set up'!$F$19/'Set up'!$E$19),"")</f>
        <v>0</v>
      </c>
      <c r="E43" s="340">
        <f>IFERROR((((VLOOKUP($B43,'Unit costs'!$B$25:$I$66,8,FALSE))*E26/60))*('Set up'!$F$20/'Set up'!$E$20),"")</f>
        <v>0</v>
      </c>
      <c r="F43" s="340">
        <f>IFERROR((((VLOOKUP($B43,'Unit costs'!$B$25:$I$66,8,FALSE))*F26/60))*('Set up'!$F$21/'Set up'!$E$21),"")</f>
        <v>0</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row>
    <row r="44" spans="2:40" x14ac:dyDescent="0.25">
      <c r="B44" s="10" t="str">
        <f t="shared" si="1"/>
        <v>Other personnel</v>
      </c>
      <c r="C44" s="340">
        <f>IFERROR((((VLOOKUP($B44,'Unit costs'!$B$25:$I$66,8,FALSE))*C27/60))*('Set up'!$F$18/'Set up'!$E$18),"")</f>
        <v>0</v>
      </c>
      <c r="D44" s="340">
        <f>IFERROR((((VLOOKUP($B44,'Unit costs'!$B$25:$I$66,8,FALSE))*D27/60))*('Set up'!$F$19/'Set up'!$E$19),"")</f>
        <v>0</v>
      </c>
      <c r="E44" s="340">
        <f>IFERROR((((VLOOKUP($B44,'Unit costs'!$B$25:$I$66,8,FALSE))*E27/60))*('Set up'!$F$20/'Set up'!$E$20),"")</f>
        <v>0</v>
      </c>
      <c r="F44" s="340">
        <f>IFERROR((((VLOOKUP($B44,'Unit costs'!$B$25:$I$66,8,FALSE))*F27/60))*('Set up'!$F$21/'Set up'!$E$21),"")</f>
        <v>0</v>
      </c>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row>
    <row r="45" spans="2:40" x14ac:dyDescent="0.25">
      <c r="B45" s="10" t="str">
        <f t="shared" si="1"/>
        <v>Other personnel</v>
      </c>
      <c r="C45" s="340">
        <f>IFERROR((((VLOOKUP($B45,'Unit costs'!$B$25:$I$66,8,FALSE))*C28/60))*('Set up'!$F$18/'Set up'!$E$18),"")</f>
        <v>0</v>
      </c>
      <c r="D45" s="340">
        <f>IFERROR((((VLOOKUP($B45,'Unit costs'!$B$25:$I$66,8,FALSE))*D28/60))*('Set up'!$F$19/'Set up'!$E$19),"")</f>
        <v>0</v>
      </c>
      <c r="E45" s="340">
        <f>IFERROR((((VLOOKUP($B45,'Unit costs'!$B$25:$I$66,8,FALSE))*E28/60))*('Set up'!$F$20/'Set up'!$E$20),"")</f>
        <v>0</v>
      </c>
      <c r="F45" s="340">
        <f>IFERROR((((VLOOKUP($B45,'Unit costs'!$B$25:$I$66,8,FALSE))*F28/60))*('Set up'!$F$21/'Set up'!$E$21),"")</f>
        <v>0</v>
      </c>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row>
    <row r="46" spans="2:40" x14ac:dyDescent="0.25">
      <c r="B46" s="10" t="str">
        <f t="shared" si="1"/>
        <v>Other personnel</v>
      </c>
      <c r="C46" s="340">
        <f>IFERROR((((VLOOKUP($B46,'Unit costs'!$B$25:$I$66,8,FALSE))*C29/60))*('Set up'!$F$18/'Set up'!$E$18),"")</f>
        <v>0</v>
      </c>
      <c r="D46" s="340">
        <f>IFERROR((((VLOOKUP($B46,'Unit costs'!$B$25:$I$66,8,FALSE))*D29/60))*('Set up'!$F$19/'Set up'!$E$19),"")</f>
        <v>0</v>
      </c>
      <c r="E46" s="340">
        <f>IFERROR((((VLOOKUP($B46,'Unit costs'!$B$25:$I$66,8,FALSE))*E29/60))*('Set up'!$F$20/'Set up'!$E$20),"")</f>
        <v>0</v>
      </c>
      <c r="F46" s="340">
        <f>IFERROR((((VLOOKUP($B46,'Unit costs'!$B$25:$I$66,8,FALSE))*F29/60))*('Set up'!$F$21/'Set up'!$E$21),"")</f>
        <v>0</v>
      </c>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row>
    <row r="47" spans="2:40" x14ac:dyDescent="0.25">
      <c r="B47" s="10" t="str">
        <f t="shared" si="1"/>
        <v>Other personnel</v>
      </c>
      <c r="C47" s="340">
        <f>IFERROR((((VLOOKUP($B47,'Unit costs'!$B$25:$I$66,8,FALSE))*C30/60))*('Set up'!$F$18/'Set up'!$E$18),"")</f>
        <v>0</v>
      </c>
      <c r="D47" s="340">
        <f>IFERROR((((VLOOKUP($B47,'Unit costs'!$B$25:$I$66,8,FALSE))*D30/60))*('Set up'!$F$19/'Set up'!$E$19),"")</f>
        <v>0</v>
      </c>
      <c r="E47" s="340">
        <f>IFERROR((((VLOOKUP($B47,'Unit costs'!$B$25:$I$66,8,FALSE))*E30/60))*('Set up'!$F$20/'Set up'!$E$20),"")</f>
        <v>0</v>
      </c>
      <c r="F47" s="340">
        <f>IFERROR((((VLOOKUP($B47,'Unit costs'!$B$25:$I$66,8,FALSE))*F30/60))*('Set up'!$F$21/'Set up'!$E$21),"")</f>
        <v>0</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2:40" x14ac:dyDescent="0.25">
      <c r="B48" s="10" t="str">
        <f t="shared" si="1"/>
        <v>Other personnel</v>
      </c>
      <c r="C48" s="340">
        <f>IFERROR((((VLOOKUP($B48,'Unit costs'!$B$25:$I$66,8,FALSE))*C31/60))*('Set up'!$F$18/'Set up'!$E$18),"")</f>
        <v>0</v>
      </c>
      <c r="D48" s="340">
        <f>IFERROR((((VLOOKUP($B48,'Unit costs'!$B$25:$I$66,8,FALSE))*D31/60))*('Set up'!$F$19/'Set up'!$E$19),"")</f>
        <v>0</v>
      </c>
      <c r="E48" s="340">
        <f>IFERROR((((VLOOKUP($B48,'Unit costs'!$B$25:$I$66,8,FALSE))*E31/60))*('Set up'!$F$20/'Set up'!$E$20),"")</f>
        <v>0</v>
      </c>
      <c r="F48" s="340">
        <f>IFERROR((((VLOOKUP($B48,'Unit costs'!$B$25:$I$66,8,FALSE))*F31/60))*('Set up'!$F$21/'Set up'!$E$21),"")</f>
        <v>0</v>
      </c>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1:50" x14ac:dyDescent="0.25">
      <c r="B49" s="55"/>
      <c r="C49" s="56"/>
      <c r="D49" s="56"/>
      <c r="E49" s="56"/>
      <c r="F49" s="56"/>
      <c r="G49" s="56"/>
      <c r="H49" s="229"/>
      <c r="I49" s="73"/>
      <c r="J49" s="229"/>
      <c r="K49" s="229"/>
      <c r="L49" s="229"/>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row>
    <row r="50" spans="1:50" x14ac:dyDescent="0.25">
      <c r="D50" s="230"/>
      <c r="E50" s="230"/>
      <c r="F50" s="230"/>
      <c r="G50" s="230"/>
      <c r="H50" s="230"/>
      <c r="I50" s="230"/>
      <c r="J50" s="231"/>
      <c r="K50" s="119"/>
      <c r="L50" s="119"/>
      <c r="M50" s="119"/>
      <c r="N50" s="119"/>
      <c r="O50" s="112"/>
      <c r="P50" s="112"/>
      <c r="Q50" s="112"/>
      <c r="R50" s="112"/>
      <c r="S50" s="112"/>
      <c r="T50" s="112"/>
      <c r="U50" s="112"/>
      <c r="V50" s="112"/>
      <c r="W50" s="112"/>
      <c r="X50" s="112"/>
      <c r="Y50" s="112"/>
      <c r="Z50" s="112"/>
      <c r="AA50" s="113"/>
      <c r="AB50" s="113"/>
      <c r="AC50" s="113"/>
      <c r="AD50" s="113"/>
      <c r="AE50" s="113"/>
      <c r="AF50" s="113"/>
      <c r="AG50" s="113"/>
      <c r="AH50" s="113"/>
      <c r="AI50" s="113"/>
      <c r="AJ50" s="113"/>
      <c r="AK50" s="113"/>
      <c r="AL50" s="113"/>
      <c r="AM50" s="113"/>
      <c r="AN50" s="113"/>
      <c r="AO50" s="113"/>
      <c r="AP50" s="113"/>
      <c r="AQ50" s="113"/>
      <c r="AR50" s="113"/>
      <c r="AS50" s="113"/>
      <c r="AT50" s="113"/>
      <c r="AU50" s="113"/>
    </row>
    <row r="51" spans="1:50" ht="22.9" customHeight="1" x14ac:dyDescent="0.25">
      <c r="B51" s="445" t="s">
        <v>73</v>
      </c>
      <c r="C51" s="445"/>
      <c r="D51" s="445"/>
      <c r="E51" s="445"/>
      <c r="F51" s="445"/>
      <c r="G51" s="445"/>
      <c r="H51" s="445"/>
      <c r="I51" s="445"/>
      <c r="J51" s="445"/>
      <c r="K51" s="445"/>
      <c r="L51" s="445"/>
      <c r="M51" s="119"/>
      <c r="N51" s="119"/>
      <c r="O51" s="119"/>
      <c r="P51" s="119"/>
      <c r="Q51" s="112"/>
      <c r="R51" s="112"/>
      <c r="S51" s="112"/>
      <c r="T51" s="112"/>
      <c r="U51" s="112"/>
      <c r="V51" s="112"/>
      <c r="W51" s="112"/>
      <c r="X51" s="112"/>
      <c r="Y51" s="112"/>
      <c r="Z51" s="112"/>
      <c r="AA51" s="112"/>
      <c r="AB51" s="112"/>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row>
    <row r="52" spans="1:50" s="112" customFormat="1" x14ac:dyDescent="0.25">
      <c r="B52" s="120"/>
      <c r="C52" s="120"/>
      <c r="D52" s="230"/>
      <c r="E52" s="230"/>
      <c r="F52" s="230"/>
      <c r="G52" s="230"/>
      <c r="H52" s="230"/>
      <c r="I52" s="230"/>
      <c r="J52" s="231"/>
      <c r="K52" s="231"/>
      <c r="L52" s="231"/>
      <c r="M52" s="158"/>
      <c r="N52" s="158"/>
      <c r="O52" s="158"/>
      <c r="P52" s="158"/>
    </row>
    <row r="53" spans="1:50" ht="15.75" thickBot="1" x14ac:dyDescent="0.3">
      <c r="B53" s="446" t="s">
        <v>510</v>
      </c>
      <c r="C53" s="446"/>
      <c r="D53" s="446"/>
      <c r="E53" s="446"/>
      <c r="F53" s="446"/>
      <c r="G53" s="232"/>
      <c r="H53" s="232"/>
      <c r="I53" s="232"/>
      <c r="J53" s="232"/>
      <c r="K53" s="232"/>
      <c r="L53" s="232"/>
      <c r="M53" s="231"/>
      <c r="N53" s="231"/>
      <c r="O53" s="231"/>
      <c r="P53" s="231"/>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row>
    <row r="54" spans="1:50" ht="45.6" customHeight="1" x14ac:dyDescent="0.25">
      <c r="A54" s="120"/>
      <c r="B54" s="233" t="s">
        <v>320</v>
      </c>
      <c r="C54" s="246" t="str">
        <f>'Set up'!B18</f>
        <v>Abbott M2000 RealTime</v>
      </c>
      <c r="D54" s="246" t="str">
        <f>'Set up'!B19</f>
        <v>Abbott M2000 RealTime</v>
      </c>
      <c r="E54" s="246" t="str">
        <f>'Set up'!B20</f>
        <v>Roche COBAS Ampliprep/TaqMan 48</v>
      </c>
      <c r="F54" s="246" t="str">
        <f>'Set up'!B21</f>
        <v>Roche COBAS Ampliprep/TaqMan 48</v>
      </c>
      <c r="G54" s="231"/>
    </row>
    <row r="55" spans="1:50" ht="12.75" customHeight="1" x14ac:dyDescent="0.25">
      <c r="A55" s="120"/>
      <c r="B55" s="235" t="s">
        <v>47</v>
      </c>
      <c r="C55" s="257">
        <f>'Set up'!$D$18</f>
        <v>46500</v>
      </c>
      <c r="D55" s="257">
        <f>'Set up'!$D$19</f>
        <v>46500</v>
      </c>
      <c r="E55" s="257">
        <f>'Set up'!$D$20</f>
        <v>42000</v>
      </c>
      <c r="F55" s="257">
        <f>'Set up'!$D$21</f>
        <v>42000</v>
      </c>
      <c r="G55" s="231"/>
    </row>
    <row r="56" spans="1:50" x14ac:dyDescent="0.25">
      <c r="A56" s="120"/>
      <c r="B56" s="235" t="s">
        <v>42</v>
      </c>
      <c r="C56" s="257">
        <f>'Set up'!$D$18</f>
        <v>46500</v>
      </c>
      <c r="D56" s="257">
        <f>'Set up'!$D$19</f>
        <v>46500</v>
      </c>
      <c r="E56" s="257">
        <f>'Set up'!$D$20</f>
        <v>42000</v>
      </c>
      <c r="F56" s="257">
        <f>'Set up'!$D$21</f>
        <v>42000</v>
      </c>
      <c r="G56" s="231"/>
    </row>
    <row r="57" spans="1:50" x14ac:dyDescent="0.25">
      <c r="A57" s="120"/>
      <c r="B57" s="235" t="s">
        <v>62</v>
      </c>
      <c r="C57" s="257">
        <f>'Set up'!$D$18</f>
        <v>46500</v>
      </c>
      <c r="D57" s="257">
        <f>'Set up'!$D$19</f>
        <v>46500</v>
      </c>
      <c r="E57" s="257">
        <f>'Set up'!$D$20</f>
        <v>42000</v>
      </c>
      <c r="F57" s="257">
        <f>'Set up'!$D$21</f>
        <v>42000</v>
      </c>
      <c r="G57" s="231"/>
    </row>
    <row r="58" spans="1:50" x14ac:dyDescent="0.25">
      <c r="B58" s="235" t="s">
        <v>48</v>
      </c>
      <c r="C58" s="257">
        <f>'Set up'!$D$18</f>
        <v>46500</v>
      </c>
      <c r="D58" s="257">
        <f>'Set up'!$D$19</f>
        <v>46500</v>
      </c>
      <c r="E58" s="257">
        <f>'Set up'!$D$20</f>
        <v>42000</v>
      </c>
      <c r="F58" s="257">
        <f>'Set up'!$D$21</f>
        <v>42000</v>
      </c>
    </row>
    <row r="59" spans="1:50" x14ac:dyDescent="0.25">
      <c r="B59" s="235" t="s">
        <v>50</v>
      </c>
      <c r="C59" s="257">
        <f>'Set up'!$D$18</f>
        <v>46500</v>
      </c>
      <c r="D59" s="257">
        <f>'Set up'!$D$19</f>
        <v>46500</v>
      </c>
      <c r="E59" s="257">
        <f>'Set up'!$D$20</f>
        <v>42000</v>
      </c>
      <c r="F59" s="257">
        <f>'Set up'!$D$21</f>
        <v>42000</v>
      </c>
    </row>
    <row r="60" spans="1:50" x14ac:dyDescent="0.25">
      <c r="B60" s="235" t="s">
        <v>53</v>
      </c>
      <c r="C60" s="257">
        <f>'Set up'!$D$18</f>
        <v>46500</v>
      </c>
      <c r="D60" s="257">
        <f>'Set up'!$D$19</f>
        <v>46500</v>
      </c>
      <c r="E60" s="257">
        <f>'Set up'!$D$20</f>
        <v>42000</v>
      </c>
      <c r="F60" s="257">
        <f>'Set up'!$D$21</f>
        <v>42000</v>
      </c>
    </row>
    <row r="61" spans="1:50" x14ac:dyDescent="0.25">
      <c r="B61" s="235" t="s">
        <v>49</v>
      </c>
      <c r="C61" s="257">
        <f>'Set up'!$D$18</f>
        <v>46500</v>
      </c>
      <c r="D61" s="257">
        <f>'Set up'!$D$19</f>
        <v>46500</v>
      </c>
      <c r="E61" s="257">
        <f>'Set up'!$D$20</f>
        <v>42000</v>
      </c>
      <c r="F61" s="257">
        <f>'Set up'!$D$21</f>
        <v>42000</v>
      </c>
    </row>
    <row r="62" spans="1:50" x14ac:dyDescent="0.25">
      <c r="B62" s="235" t="s">
        <v>57</v>
      </c>
      <c r="C62" s="257">
        <f>'Set up'!$D$18</f>
        <v>46500</v>
      </c>
      <c r="D62" s="257">
        <f>'Set up'!$D$19</f>
        <v>46500</v>
      </c>
      <c r="E62" s="257">
        <f>'Set up'!$D$20</f>
        <v>42000</v>
      </c>
      <c r="F62" s="257">
        <f>'Set up'!$D$21</f>
        <v>42000</v>
      </c>
    </row>
    <row r="63" spans="1:50" x14ac:dyDescent="0.25">
      <c r="B63" s="235" t="s">
        <v>58</v>
      </c>
      <c r="C63" s="257">
        <f>'Set up'!$D$18</f>
        <v>46500</v>
      </c>
      <c r="D63" s="257">
        <f>'Set up'!$D$19</f>
        <v>46500</v>
      </c>
      <c r="E63" s="257">
        <f>'Set up'!$D$20</f>
        <v>42000</v>
      </c>
      <c r="F63" s="257">
        <f>'Set up'!$D$21</f>
        <v>42000</v>
      </c>
    </row>
    <row r="64" spans="1:50" x14ac:dyDescent="0.25">
      <c r="B64" s="235" t="s">
        <v>64</v>
      </c>
      <c r="C64" s="257">
        <f>'Set up'!$D$18</f>
        <v>46500</v>
      </c>
      <c r="D64" s="257">
        <f>'Set up'!$D$19</f>
        <v>46500</v>
      </c>
      <c r="E64" s="257">
        <f>'Set up'!$D$20</f>
        <v>42000</v>
      </c>
      <c r="F64" s="257">
        <f>'Set up'!$D$21</f>
        <v>42000</v>
      </c>
    </row>
    <row r="65" spans="2:8" x14ac:dyDescent="0.25">
      <c r="B65" s="235" t="s">
        <v>67</v>
      </c>
      <c r="C65" s="257">
        <f>'Set up'!$D$18</f>
        <v>46500</v>
      </c>
      <c r="D65" s="257">
        <f>'Set up'!$D$19</f>
        <v>46500</v>
      </c>
      <c r="E65" s="257">
        <f>'Set up'!$D$20</f>
        <v>42000</v>
      </c>
      <c r="F65" s="257">
        <f>'Set up'!$D$21</f>
        <v>42000</v>
      </c>
    </row>
    <row r="66" spans="2:8" x14ac:dyDescent="0.25">
      <c r="B66" s="235" t="s">
        <v>86</v>
      </c>
      <c r="C66" s="257">
        <f>'Set up'!$D$18</f>
        <v>46500</v>
      </c>
      <c r="D66" s="257">
        <f>'Set up'!$D$19</f>
        <v>46500</v>
      </c>
      <c r="E66" s="257">
        <f>'Set up'!$D$20</f>
        <v>42000</v>
      </c>
      <c r="F66" s="257">
        <f>'Set up'!$D$21</f>
        <v>42000</v>
      </c>
    </row>
    <row r="67" spans="2:8" x14ac:dyDescent="0.25">
      <c r="B67" s="235" t="s">
        <v>86</v>
      </c>
      <c r="C67" s="257">
        <f>'Set up'!$D$18</f>
        <v>46500</v>
      </c>
      <c r="D67" s="257">
        <f>'Set up'!$D$19</f>
        <v>46500</v>
      </c>
      <c r="E67" s="257">
        <f>'Set up'!$D$20</f>
        <v>42000</v>
      </c>
      <c r="F67" s="257">
        <f>'Set up'!$D$21</f>
        <v>42000</v>
      </c>
    </row>
    <row r="68" spans="2:8" x14ac:dyDescent="0.25">
      <c r="B68" s="235" t="s">
        <v>86</v>
      </c>
      <c r="C68" s="257">
        <f>'Set up'!$D$18</f>
        <v>46500</v>
      </c>
      <c r="D68" s="257">
        <f>'Set up'!$D$19</f>
        <v>46500</v>
      </c>
      <c r="E68" s="257">
        <f>'Set up'!$D$20</f>
        <v>42000</v>
      </c>
      <c r="F68" s="257">
        <f>'Set up'!$D$21</f>
        <v>42000</v>
      </c>
    </row>
    <row r="69" spans="2:8" x14ac:dyDescent="0.25">
      <c r="B69" s="235" t="s">
        <v>86</v>
      </c>
      <c r="C69" s="257">
        <f>'Set up'!$D$18</f>
        <v>46500</v>
      </c>
      <c r="D69" s="257">
        <f>'Set up'!$D$19</f>
        <v>46500</v>
      </c>
      <c r="E69" s="257">
        <f>'Set up'!$D$20</f>
        <v>42000</v>
      </c>
      <c r="F69" s="257">
        <f>'Set up'!$D$21</f>
        <v>42000</v>
      </c>
    </row>
    <row r="70" spans="2:8" x14ac:dyDescent="0.25">
      <c r="B70" s="231"/>
      <c r="C70" s="231"/>
      <c r="D70" s="231"/>
      <c r="E70" s="231"/>
      <c r="F70" s="231"/>
    </row>
    <row r="71" spans="2:8" ht="15.75" thickBot="1" x14ac:dyDescent="0.3">
      <c r="B71" s="446" t="s">
        <v>511</v>
      </c>
      <c r="C71" s="446"/>
      <c r="D71" s="446"/>
      <c r="E71" s="446"/>
      <c r="F71" s="446"/>
    </row>
    <row r="72" spans="2:8" x14ac:dyDescent="0.25">
      <c r="B72" s="237" t="str">
        <f>B55</f>
        <v>Analyser, haematology, cell-differential</v>
      </c>
      <c r="C72" s="352">
        <f>IFERROR((VLOOKUP($B72,'Unit costs'!$B$178:$F$206,5,FALSE)/$C55*('Set up'!$F$18/'Set up'!$E$18)),"")</f>
        <v>3.9125910509885535E-5</v>
      </c>
      <c r="D72" s="352">
        <f>IFERROR((VLOOKUP($B72,'Unit costs'!$B$178:$F$206,5,FALSE)/$D55*('Set up'!$F$19/'Set up'!$E$19)),"")</f>
        <v>3.9125910509885535E-5</v>
      </c>
      <c r="E72" s="352">
        <f>IFERROR((VLOOKUP($B72,'Unit costs'!$B$178:$F$206,5,FALSE)/E55*('Set up'!$F$20/'Set up'!$E$20)),"")</f>
        <v>1.9183673469387754E-4</v>
      </c>
      <c r="F72" s="352">
        <f>IFERROR((VLOOKUP($B72,'Unit costs'!$B$178:$F$206,5,FALSE)/F55*('Set up'!$F$21/'Set up'!$E$21)),"")</f>
        <v>1.9183673469387754E-4</v>
      </c>
    </row>
    <row r="73" spans="2:8" x14ac:dyDescent="0.25">
      <c r="B73" s="237" t="str">
        <f t="shared" ref="B73:B86" si="2">B56</f>
        <v>Samples rack</v>
      </c>
      <c r="C73" s="352">
        <f>IFERROR((VLOOKUP($B73,'Unit costs'!$B$178:$F$206,5,FALSE)/$C56*('Set up'!$F$18/'Set up'!$E$18)),"")</f>
        <v>2.081165452653486E-5</v>
      </c>
      <c r="D73" s="352">
        <f>IFERROR((VLOOKUP($B73,'Unit costs'!$B$178:$F$206,5,FALSE)/$D56*('Set up'!$F$19/'Set up'!$E$19)),"")</f>
        <v>2.081165452653486E-5</v>
      </c>
      <c r="E73" s="352">
        <f>IFERROR((VLOOKUP($B73,'Unit costs'!$B$178:$F$206,5,FALSE)/E56*('Set up'!$F$20/'Set up'!$E$20)),"")</f>
        <v>1.020408163265306E-4</v>
      </c>
      <c r="F73" s="352">
        <f>IFERROR((VLOOKUP($B73,'Unit costs'!$B$178:$F$206,5,FALSE)/F56*('Set up'!$F$21/'Set up'!$E$21)),"")</f>
        <v>1.020408163265306E-4</v>
      </c>
    </row>
    <row r="74" spans="2:8" x14ac:dyDescent="0.25">
      <c r="B74" s="237" t="str">
        <f t="shared" si="2"/>
        <v>Landline Telephones</v>
      </c>
      <c r="C74" s="352">
        <f>IFERROR((VLOOKUP($B74,'Unit costs'!$B$178:$F$206,5,FALSE)/$C57*('Set up'!$F$18/'Set up'!$E$18)),"")</f>
        <v>2.4280263614290672E-6</v>
      </c>
      <c r="D74" s="352">
        <f>IFERROR((VLOOKUP($B74,'Unit costs'!$B$178:$F$206,5,FALSE)/$D57*('Set up'!$F$19/'Set up'!$E$19)),"")</f>
        <v>2.4280263614290672E-6</v>
      </c>
      <c r="E74" s="352">
        <f>IFERROR((VLOOKUP($B74,'Unit costs'!$B$178:$F$206,5,FALSE)/E57*('Set up'!$F$20/'Set up'!$E$20)),"")</f>
        <v>1.1904761904761903E-5</v>
      </c>
      <c r="F74" s="352">
        <f>IFERROR((VLOOKUP($B74,'Unit costs'!$B$178:$F$206,5,FALSE)/F57*('Set up'!$F$21/'Set up'!$E$21)),"")</f>
        <v>1.1904761904761903E-5</v>
      </c>
    </row>
    <row r="75" spans="2:8" x14ac:dyDescent="0.25">
      <c r="B75" s="237" t="str">
        <f t="shared" si="2"/>
        <v>Analyser, blood culture, automated</v>
      </c>
      <c r="C75" s="352">
        <f>IFERROR((VLOOKUP($B75,'Unit costs'!$B$178:$F$206,5,FALSE)/$C58*('Set up'!$F$18/'Set up'!$E$18)),"")</f>
        <v>5.6635449184876856E-4</v>
      </c>
      <c r="D75" s="352">
        <f>IFERROR((VLOOKUP($B75,'Unit costs'!$B$178:$F$206,5,FALSE)/$D58*('Set up'!$F$19/'Set up'!$E$19)),"")</f>
        <v>5.6635449184876856E-4</v>
      </c>
      <c r="E75" s="352">
        <f>IFERROR((VLOOKUP($B75,'Unit costs'!$B$178:$F$206,5,FALSE)/E58*('Set up'!$F$20/'Set up'!$E$20)),"")</f>
        <v>2.7768707482993195E-3</v>
      </c>
      <c r="F75" s="352">
        <f>IFERROR((VLOOKUP($B75,'Unit costs'!$B$178:$F$206,5,FALSE)/F58*('Set up'!$F$21/'Set up'!$E$21)),"")</f>
        <v>2.7768707482993195E-3</v>
      </c>
      <c r="H75" s="258"/>
    </row>
    <row r="76" spans="2:8" x14ac:dyDescent="0.25">
      <c r="B76" s="237" t="str">
        <f t="shared" si="2"/>
        <v>Refrigerator</v>
      </c>
      <c r="C76" s="352">
        <f>IFERROR((VLOOKUP($B76,'Unit costs'!$B$178:$F$206,5,FALSE)/$C59*('Set up'!$F$18/'Set up'!$E$18)),"")</f>
        <v>2.6090877558099202E-4</v>
      </c>
      <c r="D76" s="352">
        <f>IFERROR((VLOOKUP($B76,'Unit costs'!$B$178:$F$206,5,FALSE)/$D59*('Set up'!$F$19/'Set up'!$E$19)),"")</f>
        <v>2.6090877558099202E-4</v>
      </c>
      <c r="E76" s="352">
        <f>IFERROR((VLOOKUP($B76,'Unit costs'!$B$178:$F$206,5,FALSE)/E59*('Set up'!$F$20/'Set up'!$E$20)),"")</f>
        <v>1.279251700680272E-3</v>
      </c>
      <c r="F76" s="352">
        <f>IFERROR((VLOOKUP($B76,'Unit costs'!$B$178:$F$206,5,FALSE)/F59*('Set up'!$F$21/'Set up'!$E$21)),"")</f>
        <v>1.279251700680272E-3</v>
      </c>
    </row>
    <row r="77" spans="2:8" x14ac:dyDescent="0.25">
      <c r="B77" s="237" t="str">
        <f t="shared" si="2"/>
        <v>Bio-safety cabinet</v>
      </c>
      <c r="C77" s="352">
        <f>IFERROR((VLOOKUP($B77,'Unit costs'!$B$178:$F$206,5,FALSE)/$C60*('Set up'!$F$18/'Set up'!$E$18)),"")</f>
        <v>1.3874436351023238E-4</v>
      </c>
      <c r="D77" s="352">
        <f>IFERROR((VLOOKUP($B77,'Unit costs'!$B$178:$F$206,5,FALSE)/$D60*('Set up'!$F$19/'Set up'!$E$19)),"")</f>
        <v>1.3874436351023238E-4</v>
      </c>
      <c r="E77" s="352">
        <f>IFERROR((VLOOKUP($B77,'Unit costs'!$B$178:$F$206,5,FALSE)/E60*('Set up'!$F$20/'Set up'!$E$20)),"")</f>
        <v>6.8027210884353748E-4</v>
      </c>
      <c r="F77" s="352">
        <f>IFERROR((VLOOKUP($B77,'Unit costs'!$B$178:$F$206,5,FALSE)/F60*('Set up'!$F$21/'Set up'!$E$21)),"")</f>
        <v>6.8027210884353748E-4</v>
      </c>
    </row>
    <row r="78" spans="2:8" x14ac:dyDescent="0.25">
      <c r="B78" s="237" t="str">
        <f t="shared" si="2"/>
        <v>Microscope</v>
      </c>
      <c r="C78" s="352">
        <f>IFERROR((VLOOKUP($B78,'Unit costs'!$B$178:$F$206,5,FALSE)/$C61*('Set up'!$F$18/'Set up'!$E$18)),"")</f>
        <v>1.3874436351023238E-4</v>
      </c>
      <c r="D78" s="352">
        <f>IFERROR((VLOOKUP($B78,'Unit costs'!$B$178:$F$206,5,FALSE)/$D61*('Set up'!$F$19/'Set up'!$E$19)),"")</f>
        <v>1.3874436351023238E-4</v>
      </c>
      <c r="E78" s="352">
        <f>IFERROR((VLOOKUP($B78,'Unit costs'!$B$178:$F$206,5,FALSE)/E61*('Set up'!$F$20/'Set up'!$E$20)),"")</f>
        <v>6.8027210884353748E-4</v>
      </c>
      <c r="F78" s="352">
        <f>IFERROR((VLOOKUP($B78,'Unit costs'!$B$178:$F$206,5,FALSE)/F61*('Set up'!$F$21/'Set up'!$E$21)),"")</f>
        <v>6.8027210884353748E-4</v>
      </c>
    </row>
    <row r="79" spans="2:8" x14ac:dyDescent="0.25">
      <c r="B79" s="237" t="str">
        <f t="shared" si="2"/>
        <v>CPU</v>
      </c>
      <c r="C79" s="352">
        <f>IFERROR((VLOOKUP($B79,'Unit costs'!$B$178:$F$206,5,FALSE)/$C62*('Set up'!$F$18/'Set up'!$E$18)),"")</f>
        <v>3.4963579604578563E-5</v>
      </c>
      <c r="D79" s="352">
        <f>IFERROR((VLOOKUP($B79,'Unit costs'!$B$178:$F$206,5,FALSE)/$D62*('Set up'!$F$19/'Set up'!$E$19)),"")</f>
        <v>3.4963579604578563E-5</v>
      </c>
      <c r="E79" s="352">
        <f>IFERROR((VLOOKUP($B79,'Unit costs'!$B$178:$F$206,5,FALSE)/E62*('Set up'!$F$20/'Set up'!$E$20)),"")</f>
        <v>1.714285714285714E-4</v>
      </c>
      <c r="F79" s="352">
        <f>IFERROR((VLOOKUP($B79,'Unit costs'!$B$178:$F$206,5,FALSE)/F62*('Set up'!$F$21/'Set up'!$E$21)),"")</f>
        <v>1.714285714285714E-4</v>
      </c>
    </row>
    <row r="80" spans="2:8" x14ac:dyDescent="0.25">
      <c r="B80" s="237" t="str">
        <f t="shared" si="2"/>
        <v>Monitor</v>
      </c>
      <c r="C80" s="352">
        <f>IFERROR((VLOOKUP($B80,'Unit costs'!$B$178:$F$206,5,FALSE)/$C63*('Set up'!$F$18/'Set up'!$E$18)),"")</f>
        <v>8.3246618106139442E-6</v>
      </c>
      <c r="D80" s="352">
        <f>IFERROR((VLOOKUP($B80,'Unit costs'!$B$178:$F$206,5,FALSE)/$D63*('Set up'!$F$19/'Set up'!$E$19)),"")</f>
        <v>8.3246618106139442E-6</v>
      </c>
      <c r="E80" s="352">
        <f>IFERROR((VLOOKUP($B80,'Unit costs'!$B$178:$F$206,5,FALSE)/E63*('Set up'!$F$20/'Set up'!$E$20)),"")</f>
        <v>4.0816326530612245E-5</v>
      </c>
      <c r="F80" s="352">
        <f>IFERROR((VLOOKUP($B80,'Unit costs'!$B$178:$F$206,5,FALSE)/F63*('Set up'!$F$21/'Set up'!$E$21)),"")</f>
        <v>4.0816326530612245E-5</v>
      </c>
    </row>
    <row r="81" spans="2:12" x14ac:dyDescent="0.25">
      <c r="B81" s="237" t="str">
        <f t="shared" si="2"/>
        <v>Heating block</v>
      </c>
      <c r="C81" s="352">
        <f>IFERROR((VLOOKUP($B81,'Unit costs'!$B$178:$F$206,5,FALSE)/$C64*('Set up'!$F$18/'Set up'!$E$18)),"")</f>
        <v>2.9136316337148801E-5</v>
      </c>
      <c r="D81" s="352">
        <f>IFERROR((VLOOKUP($B81,'Unit costs'!$B$178:$F$206,5,FALSE)/$D64*('Set up'!$F$19/'Set up'!$E$19)),"")</f>
        <v>2.9136316337148801E-5</v>
      </c>
      <c r="E81" s="352">
        <f>IFERROR((VLOOKUP($B81,'Unit costs'!$B$178:$F$206,5,FALSE)/E64*('Set up'!$F$20/'Set up'!$E$20)),"")</f>
        <v>1.4285714285714284E-4</v>
      </c>
      <c r="F81" s="352">
        <f>IFERROR((VLOOKUP($B81,'Unit costs'!$B$178:$F$206,5,FALSE)/F64*('Set up'!$F$21/'Set up'!$E$21)),"")</f>
        <v>1.4285714285714284E-4</v>
      </c>
    </row>
    <row r="82" spans="2:12" x14ac:dyDescent="0.25">
      <c r="B82" s="237" t="str">
        <f t="shared" si="2"/>
        <v>printer</v>
      </c>
      <c r="C82" s="352">
        <f>IFERROR((VLOOKUP($B82,'Unit costs'!$B$178:$F$206,5,FALSE)/$C65*('Set up'!$F$18/'Set up'!$E$18)),"")</f>
        <v>2.7748872702046478E-5</v>
      </c>
      <c r="D82" s="352">
        <f>IFERROR((VLOOKUP($B82,'Unit costs'!$B$178:$F$206,5,FALSE)/$D65*('Set up'!$F$19/'Set up'!$E$19)),"")</f>
        <v>2.7748872702046478E-5</v>
      </c>
      <c r="E82" s="352">
        <f>IFERROR((VLOOKUP($B82,'Unit costs'!$B$178:$F$206,5,FALSE)/E65*('Set up'!$F$20/'Set up'!$E$20)),"")</f>
        <v>1.3605442176870748E-4</v>
      </c>
      <c r="F82" s="352">
        <f>IFERROR((VLOOKUP($B82,'Unit costs'!$B$178:$F$206,5,FALSE)/F65*('Set up'!$F$21/'Set up'!$E$21)),"")</f>
        <v>1.3605442176870748E-4</v>
      </c>
    </row>
    <row r="83" spans="2:12" x14ac:dyDescent="0.25">
      <c r="B83" s="237" t="str">
        <f t="shared" si="2"/>
        <v>Other</v>
      </c>
      <c r="C83" s="352" t="str">
        <f>IFERROR((VLOOKUP($B83,'Unit costs'!$B$178:$F$206,5,FALSE)/$C66*('Set up'!$F$18/'Set up'!$E$18)),"")</f>
        <v/>
      </c>
      <c r="D83" s="352" t="str">
        <f>IFERROR((VLOOKUP($B83,'Unit costs'!$B$178:$F$206,5,FALSE)/$D66*('Set up'!$F$19/'Set up'!$E$19)),"")</f>
        <v/>
      </c>
      <c r="E83" s="352" t="str">
        <f>IFERROR((VLOOKUP($B83,'Unit costs'!$B$178:$F$206,5,FALSE)/E66*('Set up'!$F$20/'Set up'!$E$20)),"")</f>
        <v/>
      </c>
      <c r="F83" s="352" t="str">
        <f>IFERROR((VLOOKUP($B83,'Unit costs'!$B$178:$F$206,5,FALSE)/F66*('Set up'!$F$21/'Set up'!$E$21)),"")</f>
        <v/>
      </c>
    </row>
    <row r="84" spans="2:12" x14ac:dyDescent="0.25">
      <c r="B84" s="237" t="str">
        <f t="shared" si="2"/>
        <v>Other</v>
      </c>
      <c r="C84" s="352" t="str">
        <f>IFERROR((VLOOKUP($B84,'Unit costs'!$B$178:$F$206,5,FALSE)/$C67*('Set up'!$F$18/'Set up'!$E$18)),"")</f>
        <v/>
      </c>
      <c r="D84" s="352" t="str">
        <f>IFERROR((VLOOKUP($B84,'Unit costs'!$B$178:$F$206,5,FALSE)/$D67*('Set up'!$F$19/'Set up'!$E$19)),"")</f>
        <v/>
      </c>
      <c r="E84" s="352" t="str">
        <f>IFERROR((VLOOKUP($B84,'Unit costs'!$B$178:$F$206,5,FALSE)/E67*('Set up'!$F$20/'Set up'!$E$20)),"")</f>
        <v/>
      </c>
      <c r="F84" s="352" t="str">
        <f>IFERROR((VLOOKUP($B84,'Unit costs'!$B$178:$F$206,5,FALSE)/F67*('Set up'!$F$21/'Set up'!$E$21)),"")</f>
        <v/>
      </c>
    </row>
    <row r="85" spans="2:12" x14ac:dyDescent="0.25">
      <c r="B85" s="237" t="str">
        <f t="shared" si="2"/>
        <v>Other</v>
      </c>
      <c r="C85" s="352" t="str">
        <f>IFERROR((VLOOKUP($B85,'Unit costs'!$B$178:$F$206,5,FALSE)/$C68*('Set up'!$F$18/'Set up'!$E$18)),"")</f>
        <v/>
      </c>
      <c r="D85" s="352" t="str">
        <f>IFERROR((VLOOKUP($B85,'Unit costs'!$B$178:$F$206,5,FALSE)/$D68*('Set up'!$F$19/'Set up'!$E$19)),"")</f>
        <v/>
      </c>
      <c r="E85" s="352" t="str">
        <f>IFERROR((VLOOKUP($B85,'Unit costs'!$B$178:$F$206,5,FALSE)/E68*('Set up'!$F$20/'Set up'!$E$20)),"")</f>
        <v/>
      </c>
      <c r="F85" s="352" t="str">
        <f>IFERROR((VLOOKUP($B85,'Unit costs'!$B$178:$F$206,5,FALSE)/F68*('Set up'!$F$21/'Set up'!$E$21)),"")</f>
        <v/>
      </c>
    </row>
    <row r="86" spans="2:12" x14ac:dyDescent="0.25">
      <c r="B86" s="237" t="str">
        <f t="shared" si="2"/>
        <v>Other</v>
      </c>
      <c r="C86" s="352" t="str">
        <f>IFERROR((VLOOKUP($B86,'Unit costs'!$B$178:$F$206,5,FALSE)/$C69*('Set up'!$F$18/'Set up'!$E$18)),"")</f>
        <v/>
      </c>
      <c r="D86" s="352" t="str">
        <f>IFERROR((VLOOKUP($B86,'Unit costs'!$B$178:$F$206,5,FALSE)/$D69*('Set up'!$F$19/'Set up'!$E$19)),"")</f>
        <v/>
      </c>
      <c r="E86" s="352" t="str">
        <f>IFERROR((VLOOKUP($B86,'Unit costs'!$B$178:$F$206,5,FALSE)/E69*('Set up'!$F$20/'Set up'!$E$20)),"")</f>
        <v/>
      </c>
      <c r="F86" s="352" t="str">
        <f>IFERROR((VLOOKUP($B86,'Unit costs'!$B$178:$F$206,5,FALSE)/F69*('Set up'!$F$21/'Set up'!$E$21)),"")</f>
        <v/>
      </c>
    </row>
    <row r="87" spans="2:12" x14ac:dyDescent="0.25">
      <c r="B87" s="231"/>
      <c r="C87" s="231"/>
      <c r="D87" s="231"/>
      <c r="E87" s="231"/>
      <c r="F87" s="231"/>
      <c r="G87" s="231"/>
      <c r="H87" s="236"/>
      <c r="I87" s="236"/>
      <c r="J87" s="236"/>
      <c r="K87" s="236"/>
      <c r="L87" s="236"/>
    </row>
    <row r="89" spans="2:12" ht="22.9" customHeight="1" x14ac:dyDescent="0.25">
      <c r="B89" s="445" t="s">
        <v>74</v>
      </c>
      <c r="C89" s="445"/>
      <c r="D89" s="445"/>
      <c r="E89" s="445"/>
      <c r="F89" s="445"/>
      <c r="G89" s="445"/>
      <c r="H89" s="445"/>
      <c r="I89" s="445"/>
      <c r="J89" s="445"/>
      <c r="K89" s="445"/>
      <c r="L89" s="445"/>
    </row>
    <row r="90" spans="2:12" x14ac:dyDescent="0.25">
      <c r="B90" s="147"/>
      <c r="C90" s="147"/>
      <c r="D90" s="147"/>
      <c r="E90" s="147"/>
      <c r="F90" s="147"/>
      <c r="G90" s="147"/>
      <c r="H90" s="147"/>
      <c r="I90" s="147"/>
      <c r="J90" s="158"/>
      <c r="K90" s="158"/>
      <c r="L90" s="158"/>
    </row>
    <row r="91" spans="2:12" x14ac:dyDescent="0.25">
      <c r="B91" s="147"/>
      <c r="C91" s="147"/>
      <c r="D91" s="147"/>
      <c r="E91" s="147"/>
      <c r="F91" s="147"/>
      <c r="G91" s="147"/>
      <c r="H91" s="147"/>
      <c r="I91" s="147"/>
      <c r="J91" s="158"/>
      <c r="K91" s="158"/>
      <c r="L91" s="158"/>
    </row>
    <row r="92" spans="2:12" ht="15.75" thickBot="1" x14ac:dyDescent="0.3">
      <c r="B92" s="250" t="s">
        <v>522</v>
      </c>
      <c r="C92" s="250"/>
      <c r="D92" s="250"/>
      <c r="E92" s="250" t="s">
        <v>509</v>
      </c>
      <c r="F92" s="250"/>
      <c r="G92" s="250"/>
      <c r="I92" s="147"/>
      <c r="J92" s="158"/>
      <c r="K92" s="158"/>
      <c r="L92" s="158"/>
    </row>
    <row r="93" spans="2:12" ht="24" customHeight="1" x14ac:dyDescent="0.25">
      <c r="B93" s="251" t="str">
        <f>'Set up'!B18</f>
        <v>Abbott M2000 RealTime</v>
      </c>
      <c r="C93" s="252"/>
      <c r="D93" s="253"/>
      <c r="E93" s="476" t="str">
        <f>'Set up'!B18</f>
        <v>Abbott M2000 RealTime</v>
      </c>
      <c r="F93" s="477"/>
      <c r="G93" s="478"/>
      <c r="H93" s="252"/>
      <c r="I93" s="147"/>
      <c r="J93" s="158"/>
      <c r="K93" s="158"/>
      <c r="L93" s="158"/>
    </row>
    <row r="94" spans="2:12" x14ac:dyDescent="0.25">
      <c r="B94" s="244" t="s">
        <v>34</v>
      </c>
      <c r="C94" s="347">
        <f>IFERROR(VLOOKUP($B94,'Unit costs'!$B$72:$F$83,4,FALSE)*('Set up'!$F$18/'Set up'!$E$18),"")</f>
        <v>3.2258064516129031E-2</v>
      </c>
      <c r="D94" s="254" t="str">
        <f>IFERROR(VLOOKUP($B94,'Unit costs'!$B$86:$E$173,4,FALSE)*'Set up'!$C$19,"")</f>
        <v/>
      </c>
      <c r="E94" s="466" t="str">
        <f>B94</f>
        <v>Control kit (Abbott RealTime HIV-1 Qualitative Control Kit) (1 kit covers 1128 tests and has 12 positive and 12 negative controls)</v>
      </c>
      <c r="F94" s="467"/>
      <c r="G94" s="468"/>
      <c r="H94" s="349">
        <f>IFERROR(VLOOKUP($B94,'Unit costs'!$B$72:$F$83,5,FALSE)*C94,"")</f>
        <v>6.5774422328986493E-3</v>
      </c>
      <c r="I94" s="147"/>
      <c r="J94" s="158"/>
      <c r="K94" s="158"/>
      <c r="L94" s="158"/>
    </row>
    <row r="95" spans="2:12" x14ac:dyDescent="0.25">
      <c r="B95" s="244" t="s">
        <v>276</v>
      </c>
      <c r="C95" s="347">
        <f>IFERROR(VLOOKUP($B95,'Unit costs'!$B$72:$F$83,4,FALSE)*('Set up'!$F$18/'Set up'!$E$18),"")</f>
        <v>3.2258064516129031E-2</v>
      </c>
      <c r="D95" s="254"/>
      <c r="E95" s="466" t="str">
        <f>B95</f>
        <v>Abbott Control Kit, Calibrator &amp; Quant Amplification RNA Reagent Kit (unit of 1)</v>
      </c>
      <c r="F95" s="467"/>
      <c r="G95" s="468"/>
      <c r="H95" s="349">
        <f>IFERROR(VLOOKUP($B95,'Unit costs'!$B$72:$F$83,5,FALSE)*C95,"")</f>
        <v>7.9778009018383625E-2</v>
      </c>
      <c r="I95" s="147"/>
      <c r="J95" s="158"/>
      <c r="K95" s="158"/>
      <c r="L95" s="158"/>
    </row>
    <row r="96" spans="2:12" x14ac:dyDescent="0.25">
      <c r="B96" s="244" t="s">
        <v>277</v>
      </c>
      <c r="C96" s="347">
        <f>IFERROR(VLOOKUP($B96,'Unit costs'!$B$72:$F$83,4,FALSE)*('Set up'!$F$18/'Set up'!$E$18),"")</f>
        <v>3.2258064516129031E-2</v>
      </c>
      <c r="D96" s="254"/>
      <c r="E96" s="466" t="str">
        <f>B96</f>
        <v>Abbott Calibrator &amp; Quant Amplification RNA Reagent Kit (unit of 1)</v>
      </c>
      <c r="F96" s="467"/>
      <c r="G96" s="468"/>
      <c r="H96" s="349">
        <f>IFERROR(VLOOKUP($B96,'Unit costs'!$B$72:$F$83,5,FALSE)*C96,"")</f>
        <v>7.9778009018383625E-2</v>
      </c>
      <c r="I96" s="147"/>
      <c r="J96" s="158"/>
      <c r="K96" s="158"/>
      <c r="L96" s="158"/>
    </row>
    <row r="97" spans="2:12" x14ac:dyDescent="0.25">
      <c r="B97" s="244"/>
      <c r="C97" s="347" t="str">
        <f>IFERROR(VLOOKUP($B97,'Unit costs'!$B$72:$F$83,4,FALSE)*('Set up'!$F$18/'Set up'!$E$18),"")</f>
        <v/>
      </c>
      <c r="D97" s="254"/>
      <c r="E97" s="466">
        <f>IFERROR(B97,"")</f>
        <v>0</v>
      </c>
      <c r="F97" s="467"/>
      <c r="G97" s="468"/>
      <c r="H97" s="349" t="str">
        <f>IFERROR(VLOOKUP($B97,'Unit costs'!$B$72:$F$83,5,FALSE)*C97,"")</f>
        <v/>
      </c>
      <c r="I97" s="147"/>
      <c r="J97" s="158"/>
      <c r="K97" s="158"/>
      <c r="L97" s="158"/>
    </row>
    <row r="98" spans="2:12" x14ac:dyDescent="0.25">
      <c r="B98" s="244"/>
      <c r="C98" s="347" t="str">
        <f>IFERROR(VLOOKUP($B98,'Unit costs'!$B$72:$F$83,4,FALSE)*('Set up'!$F$18/'Set up'!$E$18),"")</f>
        <v/>
      </c>
      <c r="D98" s="254"/>
      <c r="E98" s="466">
        <f t="shared" ref="E98" si="3">B98</f>
        <v>0</v>
      </c>
      <c r="F98" s="467"/>
      <c r="G98" s="468"/>
      <c r="H98" s="349" t="str">
        <f>IFERROR(VLOOKUP($B98,'Unit costs'!$B$72:$F$83,5,FALSE)*C98,"")</f>
        <v/>
      </c>
      <c r="I98" s="147"/>
      <c r="J98" s="158"/>
      <c r="K98" s="158"/>
      <c r="L98" s="158"/>
    </row>
    <row r="99" spans="2:12" ht="26.25" customHeight="1" x14ac:dyDescent="0.25">
      <c r="B99" s="255" t="str">
        <f>'Set up'!B19</f>
        <v>Abbott M2000 RealTime</v>
      </c>
      <c r="C99" s="347"/>
      <c r="D99" s="254"/>
      <c r="E99" s="469" t="str">
        <f>'Set up'!B19</f>
        <v>Abbott M2000 RealTime</v>
      </c>
      <c r="F99" s="470"/>
      <c r="G99" s="471"/>
      <c r="H99" s="349"/>
      <c r="I99" s="147"/>
      <c r="J99" s="158"/>
      <c r="K99" s="158"/>
      <c r="L99" s="158"/>
    </row>
    <row r="100" spans="2:12" x14ac:dyDescent="0.25">
      <c r="B100" s="244" t="s">
        <v>34</v>
      </c>
      <c r="C100" s="347">
        <f>IFERROR(VLOOKUP($B100,'Unit costs'!$B$72:$F$83,4,FALSE)*('Set up'!$F$19/'Set up'!$E$19),"")</f>
        <v>3.2258064516129031E-2</v>
      </c>
      <c r="D100" s="254"/>
      <c r="E100" s="466" t="str">
        <f>B100</f>
        <v>Control kit (Abbott RealTime HIV-1 Qualitative Control Kit) (1 kit covers 1128 tests and has 12 positive and 12 negative controls)</v>
      </c>
      <c r="F100" s="467"/>
      <c r="G100" s="468"/>
      <c r="H100" s="349">
        <f>IFERROR(VLOOKUP($B100,'Unit costs'!$B$72:$F$83,5,FALSE)*C100,"")</f>
        <v>6.5774422328986493E-3</v>
      </c>
      <c r="I100" s="147"/>
      <c r="J100" s="158"/>
      <c r="K100" s="158"/>
      <c r="L100" s="158"/>
    </row>
    <row r="101" spans="2:12" x14ac:dyDescent="0.25">
      <c r="B101" s="244" t="s">
        <v>276</v>
      </c>
      <c r="C101" s="347">
        <f>IFERROR(VLOOKUP($B101,'Unit costs'!$B$72:$F$83,4,FALSE)*('Set up'!$F$19/'Set up'!$E$19),"")</f>
        <v>3.2258064516129031E-2</v>
      </c>
      <c r="D101" s="254"/>
      <c r="E101" s="466" t="str">
        <f t="shared" ref="E101:E104" si="4">B101</f>
        <v>Abbott Control Kit, Calibrator &amp; Quant Amplification RNA Reagent Kit (unit of 1)</v>
      </c>
      <c r="F101" s="467"/>
      <c r="G101" s="468"/>
      <c r="H101" s="349">
        <f>IFERROR(VLOOKUP($B101,'Unit costs'!$B$72:$F$83,5,FALSE)*C101,"")</f>
        <v>7.9778009018383625E-2</v>
      </c>
      <c r="I101" s="147"/>
      <c r="J101" s="158"/>
      <c r="K101" s="158"/>
      <c r="L101" s="158"/>
    </row>
    <row r="102" spans="2:12" x14ac:dyDescent="0.25">
      <c r="B102" s="244" t="s">
        <v>277</v>
      </c>
      <c r="C102" s="347">
        <f>IFERROR(VLOOKUP($B102,'Unit costs'!$B$72:$F$83,4,FALSE)*('Set up'!$F$19/'Set up'!$E$19),"")</f>
        <v>3.2258064516129031E-2</v>
      </c>
      <c r="D102" s="254"/>
      <c r="E102" s="466" t="str">
        <f t="shared" si="4"/>
        <v>Abbott Calibrator &amp; Quant Amplification RNA Reagent Kit (unit of 1)</v>
      </c>
      <c r="F102" s="467"/>
      <c r="G102" s="468"/>
      <c r="H102" s="349">
        <f>IFERROR(VLOOKUP($B102,'Unit costs'!$B$72:$F$83,5,FALSE)*C102,"")</f>
        <v>7.9778009018383625E-2</v>
      </c>
      <c r="I102" s="147"/>
      <c r="J102" s="158"/>
      <c r="K102" s="158"/>
      <c r="L102" s="158"/>
    </row>
    <row r="103" spans="2:12" x14ac:dyDescent="0.25">
      <c r="B103" s="244"/>
      <c r="C103" s="347" t="str">
        <f>IFERROR(VLOOKUP($B103,'Unit costs'!$B$72:$F$83,4,FALSE)*('Set up'!$F$19/'Set up'!$E$19),"")</f>
        <v/>
      </c>
      <c r="D103" s="254"/>
      <c r="E103" s="466">
        <f t="shared" si="4"/>
        <v>0</v>
      </c>
      <c r="F103" s="467"/>
      <c r="G103" s="468"/>
      <c r="H103" s="349" t="str">
        <f>IFERROR(VLOOKUP($B103,'Unit costs'!$B$72:$F$83,5,FALSE)*C103,"")</f>
        <v/>
      </c>
      <c r="I103" s="147"/>
      <c r="J103" s="158"/>
      <c r="K103" s="158"/>
      <c r="L103" s="158"/>
    </row>
    <row r="104" spans="2:12" x14ac:dyDescent="0.25">
      <c r="B104" s="244"/>
      <c r="C104" s="347" t="str">
        <f>IFERROR(VLOOKUP($B104,'Unit costs'!$B$72:$F$83,4,FALSE)*('Set up'!$F$19/'Set up'!$E$19),"")</f>
        <v/>
      </c>
      <c r="D104" s="254"/>
      <c r="E104" s="466">
        <f t="shared" si="4"/>
        <v>0</v>
      </c>
      <c r="F104" s="467"/>
      <c r="G104" s="468"/>
      <c r="H104" s="349" t="str">
        <f>IFERROR(VLOOKUP($B104,'Unit costs'!$B$72:$F$83,5,FALSE)*C104,"")</f>
        <v/>
      </c>
      <c r="I104" s="147"/>
      <c r="J104" s="158"/>
      <c r="K104" s="158"/>
      <c r="L104" s="158"/>
    </row>
    <row r="105" spans="2:12" ht="25.5" customHeight="1" x14ac:dyDescent="0.25">
      <c r="B105" s="255" t="str">
        <f>'Set up'!B20</f>
        <v>Roche COBAS Ampliprep/TaqMan 48</v>
      </c>
      <c r="C105" s="347"/>
      <c r="D105" s="254"/>
      <c r="E105" s="469" t="str">
        <f>'Set up'!B20</f>
        <v>Roche COBAS Ampliprep/TaqMan 48</v>
      </c>
      <c r="F105" s="470"/>
      <c r="G105" s="471"/>
      <c r="H105" s="349"/>
      <c r="I105" s="147"/>
      <c r="J105" s="158"/>
      <c r="K105" s="158"/>
      <c r="L105" s="158"/>
    </row>
    <row r="106" spans="2:12" x14ac:dyDescent="0.25">
      <c r="B106" s="244" t="s">
        <v>273</v>
      </c>
      <c r="C106" s="347">
        <f>IFERROR(VLOOKUP($B106,'Unit costs'!$B$72:$F$83,4,FALSE)*('Set up'!$F$20/'Set up'!$E$20),"")</f>
        <v>0.14285714285714285</v>
      </c>
      <c r="D106" s="254"/>
      <c r="E106" s="466" t="str">
        <f>B106</f>
        <v>HIV-1 Quant RNA Test kit (unit of 1)</v>
      </c>
      <c r="F106" s="467"/>
      <c r="G106" s="468"/>
      <c r="H106" s="349">
        <f>IFERROR(VLOOKUP($B106,'Unit costs'!$B$72:$F$83,5,FALSE)*C106,"")</f>
        <v>0.4464285714285714</v>
      </c>
      <c r="I106" s="147"/>
      <c r="J106" s="158"/>
      <c r="K106" s="158"/>
      <c r="L106" s="158"/>
    </row>
    <row r="107" spans="2:12" x14ac:dyDescent="0.25">
      <c r="B107" s="244"/>
      <c r="C107" s="347" t="str">
        <f>IFERROR(VLOOKUP($B107,'Unit costs'!$B$72:$F$83,4,FALSE)*('Set up'!$F$20/'Set up'!$E$20),"")</f>
        <v/>
      </c>
      <c r="D107" s="254"/>
      <c r="E107" s="466">
        <f t="shared" ref="E107:E110" si="5">B107</f>
        <v>0</v>
      </c>
      <c r="F107" s="467"/>
      <c r="G107" s="468"/>
      <c r="H107" s="349" t="str">
        <f>IFERROR(VLOOKUP($B107,'Unit costs'!$B$72:$F$83,5,FALSE)*C107,"")</f>
        <v/>
      </c>
      <c r="I107" s="147"/>
      <c r="J107" s="158"/>
      <c r="K107" s="158"/>
      <c r="L107" s="158"/>
    </row>
    <row r="108" spans="2:12" x14ac:dyDescent="0.25">
      <c r="B108" s="244"/>
      <c r="C108" s="347" t="str">
        <f>IFERROR(VLOOKUP($B108,'Unit costs'!$B$72:$F$83,4,FALSE)*('Set up'!$F$20/'Set up'!$E$20),"")</f>
        <v/>
      </c>
      <c r="D108" s="254"/>
      <c r="E108" s="466">
        <f t="shared" si="5"/>
        <v>0</v>
      </c>
      <c r="F108" s="467"/>
      <c r="G108" s="468"/>
      <c r="H108" s="349" t="str">
        <f>IFERROR(VLOOKUP($B108,'Unit costs'!$B$72:$F$83,5,FALSE)*C108,"")</f>
        <v/>
      </c>
      <c r="I108" s="147"/>
      <c r="J108" s="158"/>
      <c r="K108" s="158"/>
      <c r="L108" s="158"/>
    </row>
    <row r="109" spans="2:12" x14ac:dyDescent="0.25">
      <c r="B109" s="244"/>
      <c r="C109" s="347" t="str">
        <f>IFERROR(VLOOKUP($B109,'Unit costs'!$B$72:$F$83,4,FALSE)*('Set up'!$F$20/'Set up'!$E$20),"")</f>
        <v/>
      </c>
      <c r="D109" s="254"/>
      <c r="E109" s="466">
        <f t="shared" si="5"/>
        <v>0</v>
      </c>
      <c r="F109" s="467"/>
      <c r="G109" s="468"/>
      <c r="H109" s="349" t="str">
        <f>IFERROR(VLOOKUP($B109,'Unit costs'!$B$72:$F$83,5,FALSE)*C109,"")</f>
        <v/>
      </c>
      <c r="I109" s="147"/>
      <c r="J109" s="158"/>
      <c r="K109" s="158"/>
      <c r="L109" s="158"/>
    </row>
    <row r="110" spans="2:12" x14ac:dyDescent="0.25">
      <c r="B110" s="244"/>
      <c r="C110" s="347" t="str">
        <f>IFERROR(VLOOKUP($B110,'Unit costs'!$B$72:$F$83,4,FALSE)*('Set up'!$F$20/'Set up'!$E$20),"")</f>
        <v/>
      </c>
      <c r="D110" s="254"/>
      <c r="E110" s="466">
        <f t="shared" si="5"/>
        <v>0</v>
      </c>
      <c r="F110" s="467"/>
      <c r="G110" s="468"/>
      <c r="H110" s="349" t="str">
        <f>IFERROR(VLOOKUP($B110,'Unit costs'!$B$72:$F$83,5,FALSE)*C110,"")</f>
        <v/>
      </c>
      <c r="I110" s="147"/>
      <c r="J110" s="158"/>
      <c r="K110" s="158"/>
      <c r="L110" s="158"/>
    </row>
    <row r="111" spans="2:12" ht="25.5" customHeight="1" x14ac:dyDescent="0.25">
      <c r="B111" s="256" t="str">
        <f>'Set up'!B21</f>
        <v>Roche COBAS Ampliprep/TaqMan 48</v>
      </c>
      <c r="C111" s="356"/>
      <c r="D111" s="147"/>
      <c r="E111" s="469" t="str">
        <f>'Set up'!B21</f>
        <v>Roche COBAS Ampliprep/TaqMan 48</v>
      </c>
      <c r="F111" s="470"/>
      <c r="G111" s="471"/>
      <c r="H111" s="358"/>
      <c r="I111" s="147"/>
      <c r="J111" s="158"/>
      <c r="K111" s="158"/>
      <c r="L111" s="158"/>
    </row>
    <row r="112" spans="2:12" x14ac:dyDescent="0.25">
      <c r="B112" s="244" t="s">
        <v>273</v>
      </c>
      <c r="C112" s="347">
        <f>IFERROR(VLOOKUP($B112,'Unit costs'!$B$72:$F$83,4,FALSE)*('Set up'!$F$21/'Set up'!$E$21),"")</f>
        <v>0.14285714285714285</v>
      </c>
      <c r="D112" s="147"/>
      <c r="E112" s="466" t="str">
        <f>B112</f>
        <v>HIV-1 Quant RNA Test kit (unit of 1)</v>
      </c>
      <c r="F112" s="467"/>
      <c r="G112" s="468"/>
      <c r="H112" s="349">
        <f>IFERROR(VLOOKUP($B112,'Unit costs'!$B$72:$F$83,5,FALSE)*C112,"")</f>
        <v>0.4464285714285714</v>
      </c>
      <c r="I112" s="147"/>
      <c r="J112" s="158"/>
      <c r="K112" s="158"/>
      <c r="L112" s="158"/>
    </row>
    <row r="113" spans="2:16" x14ac:dyDescent="0.25">
      <c r="B113" s="244"/>
      <c r="C113" s="347" t="str">
        <f>IFERROR(VLOOKUP($B113,'Unit costs'!$B$72:$F$83,4,FALSE)*('Set up'!$F$21/'Set up'!$E$21),"")</f>
        <v/>
      </c>
      <c r="D113" s="147"/>
      <c r="E113" s="466">
        <f t="shared" ref="E113:E116" si="6">B113</f>
        <v>0</v>
      </c>
      <c r="F113" s="467"/>
      <c r="G113" s="468"/>
      <c r="H113" s="349" t="str">
        <f>IFERROR(VLOOKUP($B113,'Unit costs'!$B$72:$F$83,5,FALSE)*C113,"")</f>
        <v/>
      </c>
      <c r="I113" s="147"/>
      <c r="J113" s="158"/>
      <c r="K113" s="158"/>
      <c r="L113" s="158"/>
    </row>
    <row r="114" spans="2:16" x14ac:dyDescent="0.25">
      <c r="B114" s="244"/>
      <c r="C114" s="347" t="str">
        <f>IFERROR(VLOOKUP($B114,'Unit costs'!$B$72:$F$83,4,FALSE)*('Set up'!$F$21/'Set up'!$E$21),"")</f>
        <v/>
      </c>
      <c r="D114" s="147"/>
      <c r="E114" s="466">
        <f t="shared" si="6"/>
        <v>0</v>
      </c>
      <c r="F114" s="467"/>
      <c r="G114" s="468"/>
      <c r="H114" s="349" t="str">
        <f>IFERROR(VLOOKUP($B114,'Unit costs'!$B$72:$F$83,5,FALSE)*C114,"")</f>
        <v/>
      </c>
      <c r="I114" s="147"/>
      <c r="J114" s="158"/>
      <c r="K114" s="158"/>
      <c r="L114" s="158"/>
    </row>
    <row r="115" spans="2:16" x14ac:dyDescent="0.25">
      <c r="B115" s="244"/>
      <c r="C115" s="347" t="str">
        <f>IFERROR(VLOOKUP($B115,'Unit costs'!$B$72:$F$83,4,FALSE)*('Set up'!$F$21/'Set up'!$E$21),"")</f>
        <v/>
      </c>
      <c r="D115" s="147"/>
      <c r="E115" s="466">
        <f t="shared" si="6"/>
        <v>0</v>
      </c>
      <c r="F115" s="467"/>
      <c r="G115" s="468"/>
      <c r="H115" s="349" t="str">
        <f>IFERROR(VLOOKUP($B115,'Unit costs'!$B$72:$F$83,5,FALSE)*C115,"")</f>
        <v/>
      </c>
      <c r="I115" s="147"/>
      <c r="J115" s="158"/>
      <c r="K115" s="158"/>
      <c r="L115" s="158"/>
    </row>
    <row r="116" spans="2:16" x14ac:dyDescent="0.25">
      <c r="B116" s="244"/>
      <c r="C116" s="347" t="str">
        <f>IFERROR(VLOOKUP($B116,'Unit costs'!$B$72:$F$83,4,FALSE)*('Set up'!$F$21/'Set up'!$E$21),"")</f>
        <v/>
      </c>
      <c r="D116" s="147"/>
      <c r="E116" s="466">
        <f t="shared" si="6"/>
        <v>0</v>
      </c>
      <c r="F116" s="467"/>
      <c r="G116" s="468"/>
      <c r="H116" s="349" t="str">
        <f>IFERROR(VLOOKUP($B116,'Unit costs'!$B$72:$F$83,5,FALSE)*C116,"")</f>
        <v/>
      </c>
      <c r="I116" s="147"/>
      <c r="J116" s="158"/>
      <c r="K116" s="158"/>
      <c r="L116" s="158"/>
    </row>
    <row r="117" spans="2:16" ht="18.75" customHeight="1" x14ac:dyDescent="0.25">
      <c r="B117" s="147"/>
      <c r="C117" s="147"/>
      <c r="D117" s="147"/>
      <c r="E117" s="147"/>
      <c r="F117" s="147"/>
      <c r="G117" s="147"/>
      <c r="H117" s="147"/>
      <c r="I117" s="147"/>
      <c r="J117" s="158"/>
      <c r="K117" s="158"/>
      <c r="L117" s="158"/>
    </row>
    <row r="118" spans="2:16" s="112" customFormat="1" ht="15.75" thickBot="1" x14ac:dyDescent="0.3">
      <c r="B118" s="463" t="s">
        <v>514</v>
      </c>
      <c r="C118" s="463"/>
      <c r="D118" s="463"/>
      <c r="E118" s="463"/>
      <c r="F118" s="463"/>
      <c r="G118" s="463"/>
      <c r="H118" s="120"/>
      <c r="I118" s="120"/>
      <c r="J118" s="120"/>
      <c r="K118" s="120"/>
      <c r="L118" s="120"/>
      <c r="M118" s="158"/>
      <c r="N118" s="158"/>
      <c r="O118" s="158"/>
      <c r="P118" s="158"/>
    </row>
    <row r="119" spans="2:16" ht="45.6" customHeight="1" thickBot="1" x14ac:dyDescent="0.3">
      <c r="B119" s="139" t="s">
        <v>231</v>
      </c>
      <c r="C119" s="247" t="str">
        <f>'Set up'!B18</f>
        <v>Abbott M2000 RealTime</v>
      </c>
      <c r="D119" s="247" t="str">
        <f>'Set up'!B19</f>
        <v>Abbott M2000 RealTime</v>
      </c>
      <c r="E119" s="247" t="str">
        <f>'Set up'!B20</f>
        <v>Roche COBAS Ampliprep/TaqMan 48</v>
      </c>
      <c r="F119" s="247" t="str">
        <f>'Set up'!B21</f>
        <v>Roche COBAS Ampliprep/TaqMan 48</v>
      </c>
    </row>
    <row r="120" spans="2:16" ht="15.75" thickBot="1" x14ac:dyDescent="0.3">
      <c r="B120" s="239" t="s">
        <v>28</v>
      </c>
      <c r="C120" s="404">
        <f>IFERROR(VLOOKUP($B120,'Unit costs'!$B$86:$E$173,4,FALSE),"")</f>
        <v>2</v>
      </c>
      <c r="D120" s="404">
        <f>IFERROR(VLOOKUP($B120,'Unit costs'!$B$86:$E$173,4,FALSE),"")</f>
        <v>2</v>
      </c>
      <c r="E120" s="404">
        <f>IFERROR(VLOOKUP($B120,'Unit costs'!$B$86:$E$173,4,FALSE),"")</f>
        <v>2</v>
      </c>
      <c r="F120" s="404">
        <f>IFERROR(VLOOKUP($B120,'Unit costs'!$B$86:$E$173,4,FALSE),"")</f>
        <v>2</v>
      </c>
    </row>
    <row r="121" spans="2:16" ht="15.75" thickBot="1" x14ac:dyDescent="0.3">
      <c r="B121" s="184" t="s">
        <v>246</v>
      </c>
      <c r="C121" s="404">
        <f>IFERROR(VLOOKUP($B121,'Unit costs'!$B$86:$E$173,4,FALSE),"")</f>
        <v>5.0000000000000001E-3</v>
      </c>
      <c r="D121" s="404">
        <f>IFERROR(VLOOKUP($B121,'Unit costs'!$B$86:$E$173,4,FALSE),"")</f>
        <v>5.0000000000000001E-3</v>
      </c>
      <c r="E121" s="404">
        <f>IFERROR(VLOOKUP($B121,'Unit costs'!$B$86:$E$173,4,FALSE),"")</f>
        <v>5.0000000000000001E-3</v>
      </c>
      <c r="F121" s="404">
        <f>IFERROR(VLOOKUP($B121,'Unit costs'!$B$86:$E$173,4,FALSE),"")</f>
        <v>5.0000000000000001E-3</v>
      </c>
    </row>
    <row r="122" spans="2:16" ht="15.75" thickBot="1" x14ac:dyDescent="0.3">
      <c r="B122" s="184" t="s">
        <v>240</v>
      </c>
      <c r="C122" s="404">
        <f>IFERROR(VLOOKUP($B122,'Unit costs'!$B$86:$E$173,4,FALSE),"")</f>
        <v>1.0416666666666666E-2</v>
      </c>
      <c r="D122" s="404">
        <f>IFERROR(VLOOKUP($B122,'Unit costs'!$B$86:$E$173,4,FALSE),"")</f>
        <v>1.0416666666666666E-2</v>
      </c>
      <c r="E122" s="404">
        <f>IFERROR(VLOOKUP($B122,'Unit costs'!$B$86:$E$173,4,FALSE),"")</f>
        <v>1.0416666666666666E-2</v>
      </c>
      <c r="F122" s="404">
        <f>IFERROR(VLOOKUP($B122,'Unit costs'!$B$86:$E$173,4,FALSE),"")</f>
        <v>1.0416666666666666E-2</v>
      </c>
    </row>
    <row r="123" spans="2:16" ht="15.75" thickBot="1" x14ac:dyDescent="0.3">
      <c r="B123" s="184" t="s">
        <v>241</v>
      </c>
      <c r="C123" s="404">
        <f>IFERROR(VLOOKUP($B123,'Unit costs'!$B$86:$E$173,4,FALSE),"")</f>
        <v>2.6041666666666668E-2</v>
      </c>
      <c r="D123" s="404">
        <f>IFERROR(VLOOKUP($B123,'Unit costs'!$B$86:$E$173,4,FALSE),"")</f>
        <v>2.6041666666666668E-2</v>
      </c>
      <c r="E123" s="404">
        <f>IFERROR(VLOOKUP($B123,'Unit costs'!$B$86:$E$173,4,FALSE),"")</f>
        <v>2.6041666666666668E-2</v>
      </c>
      <c r="F123" s="404">
        <f>IFERROR(VLOOKUP($B123,'Unit costs'!$B$86:$E$173,4,FALSE),"")</f>
        <v>2.6041666666666668E-2</v>
      </c>
    </row>
    <row r="124" spans="2:16" ht="15.75" thickBot="1" x14ac:dyDescent="0.3">
      <c r="B124" s="184" t="s">
        <v>242</v>
      </c>
      <c r="C124" s="404">
        <f>IFERROR(VLOOKUP($B124,'Unit costs'!$B$86:$E$173,4,FALSE),"")</f>
        <v>2.8735632183908045E-5</v>
      </c>
      <c r="D124" s="404">
        <f>IFERROR(VLOOKUP($B124,'Unit costs'!$B$86:$E$173,4,FALSE),"")</f>
        <v>2.8735632183908045E-5</v>
      </c>
      <c r="E124" s="404">
        <f>IFERROR(VLOOKUP($B124,'Unit costs'!$B$86:$E$173,4,FALSE),"")</f>
        <v>2.8735632183908045E-5</v>
      </c>
      <c r="F124" s="404">
        <f>IFERROR(VLOOKUP($B124,'Unit costs'!$B$86:$E$173,4,FALSE),"")</f>
        <v>2.8735632183908045E-5</v>
      </c>
    </row>
    <row r="125" spans="2:16" ht="15.75" thickBot="1" x14ac:dyDescent="0.3">
      <c r="B125" s="184" t="s">
        <v>252</v>
      </c>
      <c r="C125" s="404">
        <f>IFERROR(VLOOKUP($B125,'Unit costs'!$B$86:$E$173,4,FALSE),"")</f>
        <v>1</v>
      </c>
      <c r="D125" s="404">
        <f>IFERROR(VLOOKUP($B125,'Unit costs'!$B$86:$E$173,4,FALSE),"")</f>
        <v>1</v>
      </c>
      <c r="E125" s="404">
        <f>IFERROR(VLOOKUP($B125,'Unit costs'!$B$86:$E$173,4,FALSE),"")</f>
        <v>1</v>
      </c>
      <c r="F125" s="404">
        <f>IFERROR(VLOOKUP($B125,'Unit costs'!$B$86:$E$173,4,FALSE),"")</f>
        <v>1</v>
      </c>
    </row>
    <row r="126" spans="2:16" ht="15.75" thickBot="1" x14ac:dyDescent="0.3">
      <c r="B126" s="184" t="s">
        <v>278</v>
      </c>
      <c r="C126" s="404">
        <f>IFERROR(VLOOKUP($B126,'Unit costs'!$B$86:$E$173,4,FALSE),"")</f>
        <v>1</v>
      </c>
      <c r="D126" s="404">
        <f>IFERROR(VLOOKUP($B126,'Unit costs'!$B$86:$E$173,4,FALSE),"")</f>
        <v>1</v>
      </c>
      <c r="E126" s="404">
        <f>IFERROR(VLOOKUP($B126,'Unit costs'!$B$86:$E$173,4,FALSE),"")</f>
        <v>1</v>
      </c>
      <c r="F126" s="404">
        <f>IFERROR(VLOOKUP($B126,'Unit costs'!$B$86:$E$173,4,FALSE),"")</f>
        <v>1</v>
      </c>
    </row>
    <row r="127" spans="2:16" ht="15.75" thickBot="1" x14ac:dyDescent="0.3">
      <c r="B127" s="184" t="s">
        <v>290</v>
      </c>
      <c r="C127" s="404">
        <f>IFERROR(VLOOKUP($B127,'Unit costs'!$B$86:$E$173,4,FALSE),"")</f>
        <v>5.0000000000000001E-4</v>
      </c>
      <c r="D127" s="404">
        <f>IFERROR(VLOOKUP($B127,'Unit costs'!$B$86:$E$173,4,FALSE),"")</f>
        <v>5.0000000000000001E-4</v>
      </c>
      <c r="E127" s="404">
        <f>IFERROR(VLOOKUP($B127,'Unit costs'!$B$86:$E$173,4,FALSE),"")</f>
        <v>5.0000000000000001E-4</v>
      </c>
      <c r="F127" s="404">
        <f>IFERROR(VLOOKUP($B127,'Unit costs'!$B$86:$E$173,4,FALSE),"")</f>
        <v>5.0000000000000001E-4</v>
      </c>
    </row>
    <row r="128" spans="2:16" ht="15.75" thickBot="1" x14ac:dyDescent="0.3">
      <c r="B128" s="184" t="s">
        <v>292</v>
      </c>
      <c r="C128" s="404">
        <f>IFERROR(VLOOKUP($B128,'Unit costs'!$B$86:$E$173,4,FALSE),"")</f>
        <v>1</v>
      </c>
      <c r="D128" s="404">
        <f>IFERROR(VLOOKUP($B128,'Unit costs'!$B$86:$E$173,4,FALSE),"")</f>
        <v>1</v>
      </c>
      <c r="E128" s="404">
        <f>IFERROR(VLOOKUP($B128,'Unit costs'!$B$86:$E$173,4,FALSE),"")</f>
        <v>1</v>
      </c>
      <c r="F128" s="404">
        <f>IFERROR(VLOOKUP($B128,'Unit costs'!$B$86:$E$173,4,FALSE),"")</f>
        <v>1</v>
      </c>
    </row>
    <row r="129" spans="2:6" ht="15.75" thickBot="1" x14ac:dyDescent="0.3">
      <c r="B129" s="184" t="s">
        <v>35</v>
      </c>
      <c r="C129" s="404">
        <f>IFERROR(VLOOKUP($B129,'Unit costs'!$B$86:$E$173,4,FALSE),"")</f>
        <v>6.2500000000000003E-3</v>
      </c>
      <c r="D129" s="404">
        <f>IFERROR(VLOOKUP($B129,'Unit costs'!$B$86:$E$173,4,FALSE),"")</f>
        <v>6.2500000000000003E-3</v>
      </c>
      <c r="E129" s="404">
        <f>IFERROR(VLOOKUP($B129,'Unit costs'!$B$86:$E$173,4,FALSE),"")</f>
        <v>6.2500000000000003E-3</v>
      </c>
      <c r="F129" s="404">
        <f>IFERROR(VLOOKUP($B129,'Unit costs'!$B$86:$E$173,4,FALSE),"")</f>
        <v>6.2500000000000003E-3</v>
      </c>
    </row>
    <row r="130" spans="2:6" ht="15.75" thickBot="1" x14ac:dyDescent="0.3">
      <c r="B130" s="184" t="s">
        <v>316</v>
      </c>
      <c r="C130" s="404">
        <f>IFERROR(VLOOKUP($B130,'Unit costs'!$B$86:$E$173,4,FALSE),"")</f>
        <v>3.5000000000000001E-3</v>
      </c>
      <c r="D130" s="404">
        <f>IFERROR(VLOOKUP($B130,'Unit costs'!$B$86:$E$173,4,FALSE),"")</f>
        <v>3.5000000000000001E-3</v>
      </c>
      <c r="E130" s="404">
        <f>IFERROR(VLOOKUP($B130,'Unit costs'!$B$86:$E$173,4,FALSE),"")</f>
        <v>3.5000000000000001E-3</v>
      </c>
      <c r="F130" s="404">
        <f>IFERROR(VLOOKUP($B130,'Unit costs'!$B$86:$E$173,4,FALSE),"")</f>
        <v>3.5000000000000001E-3</v>
      </c>
    </row>
    <row r="131" spans="2:6" ht="15.75" thickBot="1" x14ac:dyDescent="0.3">
      <c r="B131" s="184" t="s">
        <v>248</v>
      </c>
      <c r="C131" s="404">
        <f>IFERROR(VLOOKUP($B131,'Unit costs'!$B$86:$E$173,4,FALSE),"")</f>
        <v>4.0000000000000001E-3</v>
      </c>
      <c r="D131" s="404">
        <f>IFERROR(VLOOKUP($B131,'Unit costs'!$B$86:$E$173,4,FALSE),"")</f>
        <v>4.0000000000000001E-3</v>
      </c>
      <c r="E131" s="404">
        <f>IFERROR(VLOOKUP($B131,'Unit costs'!$B$86:$E$173,4,FALSE),"")</f>
        <v>4.0000000000000001E-3</v>
      </c>
      <c r="F131" s="404">
        <f>IFERROR(VLOOKUP($B131,'Unit costs'!$B$86:$E$173,4,FALSE),"")</f>
        <v>4.0000000000000001E-3</v>
      </c>
    </row>
    <row r="132" spans="2:6" ht="15.75" thickBot="1" x14ac:dyDescent="0.3">
      <c r="B132" s="184" t="s">
        <v>251</v>
      </c>
      <c r="C132" s="404">
        <f>IFERROR(VLOOKUP($B132,'Unit costs'!$B$86:$E$173,4,FALSE),"")</f>
        <v>1</v>
      </c>
      <c r="D132" s="404">
        <f>IFERROR(VLOOKUP($B132,'Unit costs'!$B$86:$E$173,4,FALSE),"")</f>
        <v>1</v>
      </c>
      <c r="E132" s="404">
        <f>IFERROR(VLOOKUP($B132,'Unit costs'!$B$86:$E$173,4,FALSE),"")</f>
        <v>1</v>
      </c>
      <c r="F132" s="404">
        <f>IFERROR(VLOOKUP($B132,'Unit costs'!$B$86:$E$173,4,FALSE),"")</f>
        <v>1</v>
      </c>
    </row>
    <row r="133" spans="2:6" ht="15.75" thickBot="1" x14ac:dyDescent="0.3">
      <c r="B133" s="240" t="s">
        <v>270</v>
      </c>
      <c r="C133" s="404">
        <f>IFERROR(VLOOKUP($B133,'Unit costs'!$B$86:$E$173,4,FALSE),"")</f>
        <v>1</v>
      </c>
      <c r="D133" s="404">
        <f>IFERROR(VLOOKUP($B133,'Unit costs'!$B$86:$E$173,4,FALSE),"")</f>
        <v>1</v>
      </c>
      <c r="E133" s="404">
        <f>IFERROR(VLOOKUP($B133,'Unit costs'!$B$86:$E$173,4,FALSE),"")</f>
        <v>1</v>
      </c>
      <c r="F133" s="404">
        <f>IFERROR(VLOOKUP($B133,'Unit costs'!$B$86:$E$173,4,FALSE),"")</f>
        <v>1</v>
      </c>
    </row>
    <row r="134" spans="2:6" ht="16.149999999999999" customHeight="1" thickBot="1" x14ac:dyDescent="0.3">
      <c r="B134" s="240" t="s">
        <v>250</v>
      </c>
      <c r="C134" s="404">
        <f>IFERROR(VLOOKUP($B134,'Unit costs'!$B$86:$E$173,4,FALSE),"")</f>
        <v>1</v>
      </c>
      <c r="D134" s="404">
        <f>IFERROR(VLOOKUP($B134,'Unit costs'!$B$86:$E$173,4,FALSE),"")</f>
        <v>1</v>
      </c>
      <c r="E134" s="404">
        <f>IFERROR(VLOOKUP($B134,'Unit costs'!$B$86:$E$173,4,FALSE),"")</f>
        <v>1</v>
      </c>
      <c r="F134" s="404">
        <f>IFERROR(VLOOKUP($B134,'Unit costs'!$B$86:$E$173,4,FALSE),"")</f>
        <v>1</v>
      </c>
    </row>
    <row r="135" spans="2:6" ht="15.75" thickBot="1" x14ac:dyDescent="0.3">
      <c r="B135" s="184" t="s">
        <v>92</v>
      </c>
      <c r="C135" s="404" t="str">
        <f>IFERROR(VLOOKUP($B135,'Unit costs'!$B$86:$E$173,4,FALSE),"")</f>
        <v/>
      </c>
      <c r="D135" s="404" t="str">
        <f>IFERROR(VLOOKUP($B135,'Unit costs'!$B$86:$E$173,4,FALSE),"")</f>
        <v/>
      </c>
      <c r="E135" s="404" t="str">
        <f>IFERROR(VLOOKUP($B135,'Unit costs'!$B$86:$E$173,4,FALSE),"")</f>
        <v/>
      </c>
      <c r="F135" s="404" t="str">
        <f>IFERROR(VLOOKUP($B135,'Unit costs'!$B$86:$E$173,4,FALSE),"")</f>
        <v/>
      </c>
    </row>
    <row r="136" spans="2:6" ht="15.75" thickBot="1" x14ac:dyDescent="0.3">
      <c r="B136" s="184" t="s">
        <v>92</v>
      </c>
      <c r="C136" s="404" t="str">
        <f>IFERROR(VLOOKUP($B136,'Unit costs'!$B$86:$E$173,4,FALSE),"")</f>
        <v/>
      </c>
      <c r="D136" s="404" t="str">
        <f>IFERROR(VLOOKUP($B136,'Unit costs'!$B$86:$E$173,4,FALSE),"")</f>
        <v/>
      </c>
      <c r="E136" s="404" t="str">
        <f>IFERROR(VLOOKUP($B136,'Unit costs'!$B$86:$E$173,4,FALSE),"")</f>
        <v/>
      </c>
      <c r="F136" s="404" t="str">
        <f>IFERROR(VLOOKUP($B136,'Unit costs'!$B$86:$E$173,4,FALSE),"")</f>
        <v/>
      </c>
    </row>
    <row r="137" spans="2:6" ht="15.75" thickBot="1" x14ac:dyDescent="0.3">
      <c r="B137" s="184" t="s">
        <v>92</v>
      </c>
      <c r="C137" s="404" t="str">
        <f>IFERROR(VLOOKUP($B137,'Unit costs'!$B$86:$E$173,4,FALSE),"")</f>
        <v/>
      </c>
      <c r="D137" s="404" t="str">
        <f>IFERROR(VLOOKUP($B137,'Unit costs'!$B$86:$E$173,4,FALSE),"")</f>
        <v/>
      </c>
      <c r="E137" s="404" t="str">
        <f>IFERROR(VLOOKUP($B137,'Unit costs'!$B$86:$E$173,4,FALSE),"")</f>
        <v/>
      </c>
      <c r="F137" s="404" t="str">
        <f>IFERROR(VLOOKUP($B137,'Unit costs'!$B$86:$E$173,4,FALSE),"")</f>
        <v/>
      </c>
    </row>
    <row r="138" spans="2:6" ht="15.75" thickBot="1" x14ac:dyDescent="0.3">
      <c r="B138" s="184" t="s">
        <v>92</v>
      </c>
      <c r="C138" s="404" t="str">
        <f>IFERROR(VLOOKUP($B138,'Unit costs'!$B$86:$E$173,4,FALSE),"")</f>
        <v/>
      </c>
      <c r="D138" s="404" t="str">
        <f>IFERROR(VLOOKUP($B138,'Unit costs'!$B$86:$E$173,4,FALSE),"")</f>
        <v/>
      </c>
      <c r="E138" s="404" t="str">
        <f>IFERROR(VLOOKUP($B138,'Unit costs'!$B$86:$E$173,4,FALSE),"")</f>
        <v/>
      </c>
      <c r="F138" s="404" t="str">
        <f>IFERROR(VLOOKUP($B138,'Unit costs'!$B$86:$E$173,4,FALSE),"")</f>
        <v/>
      </c>
    </row>
    <row r="139" spans="2:6" ht="15.75" thickBot="1" x14ac:dyDescent="0.3">
      <c r="B139" s="144" t="s">
        <v>92</v>
      </c>
      <c r="C139" s="404" t="str">
        <f>IFERROR(VLOOKUP($B139,'Unit costs'!$B$86:$E$173,4,FALSE),"")</f>
        <v/>
      </c>
      <c r="D139" s="404" t="str">
        <f>IFERROR(VLOOKUP($B139,'Unit costs'!$B$86:$E$173,4,FALSE),"")</f>
        <v/>
      </c>
      <c r="E139" s="404" t="str">
        <f>IFERROR(VLOOKUP($B139,'Unit costs'!$B$86:$E$173,4,FALSE),"")</f>
        <v/>
      </c>
      <c r="F139" s="404" t="str">
        <f>IFERROR(VLOOKUP($B139,'Unit costs'!$B$86:$E$173,4,FALSE),"")</f>
        <v/>
      </c>
    </row>
    <row r="140" spans="2:6" ht="15.75" thickBot="1" x14ac:dyDescent="0.3">
      <c r="B140" s="144" t="s">
        <v>92</v>
      </c>
      <c r="C140" s="404" t="str">
        <f>IFERROR(VLOOKUP($B140,'Unit costs'!$B$86:$E$173,4,FALSE),"")</f>
        <v/>
      </c>
      <c r="D140" s="404" t="str">
        <f>IFERROR(VLOOKUP($B140,'Unit costs'!$B$86:$E$173,4,FALSE),"")</f>
        <v/>
      </c>
      <c r="E140" s="404" t="str">
        <f>IFERROR(VLOOKUP($B140,'Unit costs'!$B$86:$E$173,4,FALSE),"")</f>
        <v/>
      </c>
      <c r="F140" s="404" t="str">
        <f>IFERROR(VLOOKUP($B140,'Unit costs'!$B$86:$E$173,4,FALSE),"")</f>
        <v/>
      </c>
    </row>
    <row r="141" spans="2:6" x14ac:dyDescent="0.25">
      <c r="B141" s="144" t="s">
        <v>92</v>
      </c>
      <c r="C141" s="404" t="str">
        <f>IFERROR(VLOOKUP($B141,'Unit costs'!$B$86:$E$173,4,FALSE),"")</f>
        <v/>
      </c>
      <c r="D141" s="404" t="str">
        <f>IFERROR(VLOOKUP($B141,'Unit costs'!$B$86:$E$173,4,FALSE),"")</f>
        <v/>
      </c>
      <c r="E141" s="404" t="str">
        <f>IFERROR(VLOOKUP($B141,'Unit costs'!$B$86:$E$173,4,FALSE),"")</f>
        <v/>
      </c>
      <c r="F141" s="404" t="str">
        <f>IFERROR(VLOOKUP($B141,'Unit costs'!$B$86:$E$173,4,FALSE),"")</f>
        <v/>
      </c>
    </row>
    <row r="142" spans="2:6" s="158" customFormat="1" x14ac:dyDescent="0.25">
      <c r="B142" s="207"/>
      <c r="C142" s="207"/>
      <c r="D142" s="207"/>
      <c r="E142" s="207"/>
      <c r="F142" s="207"/>
    </row>
    <row r="143" spans="2:6" s="158" customFormat="1" ht="15.75" thickBot="1" x14ac:dyDescent="0.3">
      <c r="B143" s="446" t="s">
        <v>509</v>
      </c>
      <c r="C143" s="446"/>
      <c r="D143" s="446"/>
      <c r="E143" s="446"/>
      <c r="F143" s="446"/>
    </row>
    <row r="144" spans="2:6" s="158" customFormat="1" ht="15.75" thickBot="1" x14ac:dyDescent="0.3">
      <c r="B144" s="241" t="str">
        <f t="shared" ref="B144:B158" si="7">B120</f>
        <v>Gloves (powder free) x 100 gloves</v>
      </c>
      <c r="C144" s="353">
        <f>IFERROR(VLOOKUP($B144,'Unit costs'!$B$86:$F$173,5,FALSE)*(C120*('Set up'!F$18/'Set up'!E$18)),"")</f>
        <v>1.0180645161290322E-2</v>
      </c>
      <c r="D144" s="353">
        <f>IFERROR(VLOOKUP($B144,'Unit costs'!$B$86:$F$173,5,FALSE)*(D120*('Set up'!F$19/'Set up'!E$19)),"")</f>
        <v>1.0180645161290322E-2</v>
      </c>
      <c r="E144" s="348">
        <f>IFERROR(VLOOKUP($B144,'Unit costs'!$B$86:$F$173,5,FALSE)*(E120*('Set up'!F$20/'Set up'!E$20)),"")</f>
        <v>4.5085714285714285E-2</v>
      </c>
      <c r="F144" s="348">
        <f>IFERROR(VLOOKUP($B144,'Unit costs'!$B$86:$F$173,5,FALSE)*(F120*('Set up'!F$21/'Set up'!E$21)),"")</f>
        <v>4.5085714285714285E-2</v>
      </c>
    </row>
    <row r="145" spans="2:6" s="158" customFormat="1" ht="15.75" thickBot="1" x14ac:dyDescent="0.3">
      <c r="B145" s="242" t="str">
        <f t="shared" si="7"/>
        <v>Biohazard bags. (Red and black) (100 per case)</v>
      </c>
      <c r="C145" s="353">
        <f>IFERROR(VLOOKUP($B145,'Unit costs'!$B$86:$F$173,5,FALSE)*(C121*('Set up'!F$18/'Set up'!E$18)),"")</f>
        <v>2.8225806451612905E-7</v>
      </c>
      <c r="D145" s="353">
        <f>IFERROR(VLOOKUP($B145,'Unit costs'!$B$86:$F$173,5,FALSE)*(D121*('Set up'!F$19/'Set up'!E$19)),"")</f>
        <v>2.8225806451612905E-7</v>
      </c>
      <c r="E145" s="348">
        <f>IFERROR(VLOOKUP($B145,'Unit costs'!$B$86:$F$173,5,FALSE)*(E121*('Set up'!F$20/'Set up'!E$20)),"")</f>
        <v>1.2500000000000001E-6</v>
      </c>
      <c r="F145" s="348">
        <f>IFERROR(VLOOKUP($B145,'Unit costs'!$B$86:$F$173,5,FALSE)*(F121*('Set up'!F$21/'Set up'!E$21)),"")</f>
        <v>1.2500000000000001E-6</v>
      </c>
    </row>
    <row r="146" spans="2:6" s="158" customFormat="1" ht="15.75" thickBot="1" x14ac:dyDescent="0.3">
      <c r="B146" s="242" t="str">
        <f t="shared" si="7"/>
        <v>Biohazard containers (unit of 1)</v>
      </c>
      <c r="C146" s="353">
        <f>IFERROR(VLOOKUP($B146,'Unit costs'!$B$86:$F$173,5,FALSE)*(C122*('Set up'!F$18/'Set up'!E$18)),"")</f>
        <v>6.0299059139784942E-7</v>
      </c>
      <c r="D146" s="353">
        <f>IFERROR(VLOOKUP($B146,'Unit costs'!$B$86:$F$173,5,FALSE)*(D122*('Set up'!F$19/'Set up'!E$19)),"")</f>
        <v>6.0299059139784942E-7</v>
      </c>
      <c r="E146" s="348">
        <f>IFERROR(VLOOKUP($B146,'Unit costs'!$B$86:$F$173,5,FALSE)*(E122*('Set up'!F$20/'Set up'!E$20)),"")</f>
        <v>2.6703869047619047E-6</v>
      </c>
      <c r="F146" s="348">
        <f>IFERROR(VLOOKUP($B146,'Unit costs'!$B$86:$F$173,5,FALSE)*(F122*('Set up'!F$21/'Set up'!E$21)),"")</f>
        <v>2.6703869047619047E-6</v>
      </c>
    </row>
    <row r="147" spans="2:6" s="158" customFormat="1" ht="15.75" thickBot="1" x14ac:dyDescent="0.3">
      <c r="B147" s="242" t="str">
        <f t="shared" si="7"/>
        <v>Laboratory coats (disposable) (25 per case)</v>
      </c>
      <c r="C147" s="353">
        <f>IFERROR(VLOOKUP($B147,'Unit costs'!$B$86:$F$173,5,FALSE)*(C123*('Set up'!F$18/'Set up'!E$18)),"")</f>
        <v>2.588923087527302E-5</v>
      </c>
      <c r="D147" s="353">
        <f>IFERROR(VLOOKUP($B147,'Unit costs'!$B$86:$F$173,5,FALSE)*(D123*('Set up'!F$19/'Set up'!E$19)),"")</f>
        <v>2.588923087527302E-5</v>
      </c>
      <c r="E147" s="348">
        <f>IFERROR(VLOOKUP($B147,'Unit costs'!$B$86:$F$173,5,FALSE)*(E123*('Set up'!F$20/'Set up'!E$20)),"")</f>
        <v>1.1465230816192336E-4</v>
      </c>
      <c r="F147" s="348">
        <f>IFERROR(VLOOKUP($B147,'Unit costs'!$B$86:$F$173,5,FALSE)*(F123*('Set up'!F$21/'Set up'!E$21)),"")</f>
        <v>1.1465230816192336E-4</v>
      </c>
    </row>
    <row r="148" spans="2:6" s="158" customFormat="1" ht="15.75" thickBot="1" x14ac:dyDescent="0.3">
      <c r="B148" s="242" t="str">
        <f t="shared" si="7"/>
        <v>Laboratory coats (non-disposable) (Unit of 1)</v>
      </c>
      <c r="C148" s="353">
        <f>IFERROR(VLOOKUP($B148,'Unit costs'!$B$86:$F$173,5,FALSE)*(C124*('Set up'!F$18/'Set up'!E$18)),"")</f>
        <v>6.6591657823294501E-10</v>
      </c>
      <c r="D148" s="353">
        <f>IFERROR(VLOOKUP($B148,'Unit costs'!$B$86:$F$173,5,FALSE)*(D124*('Set up'!F$19/'Set up'!E$19)),"")</f>
        <v>6.6591657823294501E-10</v>
      </c>
      <c r="E148" s="348">
        <f>IFERROR(VLOOKUP($B148,'Unit costs'!$B$86:$F$173,5,FALSE)*(E124*('Set up'!F$20/'Set up'!E$20)),"")</f>
        <v>2.9490591321744711E-9</v>
      </c>
      <c r="F148" s="348">
        <f>IFERROR(VLOOKUP($B148,'Unit costs'!$B$86:$F$173,5,FALSE)*(F124*('Set up'!F$21/'Set up'!E$21)),"")</f>
        <v>2.9490591321744711E-9</v>
      </c>
    </row>
    <row r="149" spans="2:6" s="158" customFormat="1" ht="15.75" thickBot="1" x14ac:dyDescent="0.3">
      <c r="B149" s="242" t="str">
        <f t="shared" si="7"/>
        <v xml:space="preserve">Cryovials (screw cap 2ml micro tubes) (pack of 1000) </v>
      </c>
      <c r="C149" s="353">
        <f>IFERROR(VLOOKUP($B149,'Unit costs'!$B$86:$F$173,5,FALSE)*(C125*('Set up'!F$18/'Set up'!E$18)),"")</f>
        <v>4.0322580645161289E-3</v>
      </c>
      <c r="D149" s="353">
        <f>IFERROR(VLOOKUP($B149,'Unit costs'!$B$86:$F$173,5,FALSE)*(D125*('Set up'!F$19/'Set up'!E$19)),"")</f>
        <v>4.0322580645161289E-3</v>
      </c>
      <c r="E149" s="348">
        <f>IFERROR(VLOOKUP($B149,'Unit costs'!$B$86:$F$173,5,FALSE)*(E125*('Set up'!F$20/'Set up'!E$20)),"")</f>
        <v>1.7857142857142856E-2</v>
      </c>
      <c r="F149" s="348">
        <f>IFERROR(VLOOKUP($B149,'Unit costs'!$B$86:$F$173,5,FALSE)*(F125*('Set up'!F$21/'Set up'!E$21)),"")</f>
        <v>1.7857142857142856E-2</v>
      </c>
    </row>
    <row r="150" spans="2:6" s="158" customFormat="1" ht="15.75" thickBot="1" x14ac:dyDescent="0.3">
      <c r="B150" s="242" t="str">
        <f t="shared" si="7"/>
        <v>1000µl Eppendorf (TECAN) disposable Tips (box of 2304)</v>
      </c>
      <c r="C150" s="353">
        <f>IFERROR(VLOOKUP($B150,'Unit costs'!$B$86:$F$173,5,FALSE)*(C126*('Set up'!F$18/'Set up'!E$18)),"")</f>
        <v>5.3343413978494628E-3</v>
      </c>
      <c r="D150" s="353">
        <f>IFERROR(VLOOKUP($B150,'Unit costs'!$B$86:$F$173,5,FALSE)*(D126*('Set up'!F$19/'Set up'!E$19)),"")</f>
        <v>5.3343413978494628E-3</v>
      </c>
      <c r="E150" s="348">
        <f>IFERROR(VLOOKUP($B150,'Unit costs'!$B$86:$F$173,5,FALSE)*(E126*('Set up'!F$20/'Set up'!E$20)),"")</f>
        <v>2.3623511904761904E-2</v>
      </c>
      <c r="F150" s="348">
        <f>IFERROR(VLOOKUP($B150,'Unit costs'!$B$86:$F$173,5,FALSE)*(F126*('Set up'!F$21/'Set up'!E$21)),"")</f>
        <v>2.3623511904761904E-2</v>
      </c>
    </row>
    <row r="151" spans="2:6" s="158" customFormat="1" ht="15.75" thickBot="1" x14ac:dyDescent="0.3">
      <c r="B151" s="242" t="str">
        <f t="shared" si="7"/>
        <v>cryopen (pack of 5)</v>
      </c>
      <c r="C151" s="353">
        <f>IFERROR(VLOOKUP($B151,'Unit costs'!$B$86:$F$173,5,FALSE)*(C127*('Set up'!F$18/'Set up'!E$18)),"")</f>
        <v>3.9765858624419356E-8</v>
      </c>
      <c r="D151" s="353">
        <f>IFERROR(VLOOKUP($B151,'Unit costs'!$B$86:$F$173,5,FALSE)*(D127*('Set up'!F$19/'Set up'!E$19)),"")</f>
        <v>3.9765858624419356E-8</v>
      </c>
      <c r="E151" s="348">
        <f>IFERROR(VLOOKUP($B151,'Unit costs'!$B$86:$F$173,5,FALSE)*(E127*('Set up'!F$20/'Set up'!E$20)),"")</f>
        <v>1.7610594533671427E-7</v>
      </c>
      <c r="F151" s="348">
        <f>IFERROR(VLOOKUP($B151,'Unit costs'!$B$86:$F$173,5,FALSE)*(F127*('Set up'!F$21/'Set up'!E$21)),"")</f>
        <v>1.7610594533671427E-7</v>
      </c>
    </row>
    <row r="152" spans="2:6" s="158" customFormat="1" ht="15.75" thickBot="1" x14ac:dyDescent="0.3">
      <c r="B152" s="242" t="str">
        <f t="shared" si="7"/>
        <v>Tube, Micro-tube sarstedt cat#72.693.005 (pack of 100)</v>
      </c>
      <c r="C152" s="353">
        <f>IFERROR(VLOOKUP($B152,'Unit costs'!$B$86:$F$173,5,FALSE)*(C128*('Set up'!F$18/'Set up'!E$18)),"")</f>
        <v>2.0041992746707383E-3</v>
      </c>
      <c r="D152" s="353">
        <f>IFERROR(VLOOKUP($B152,'Unit costs'!$B$86:$F$173,5,FALSE)*(D128*('Set up'!F$19/'Set up'!E$19)),"")</f>
        <v>2.0041992746707383E-3</v>
      </c>
      <c r="E152" s="348">
        <f>IFERROR(VLOOKUP($B152,'Unit costs'!$B$86:$F$173,5,FALSE)*(E128*('Set up'!F$20/'Set up'!E$20)),"")</f>
        <v>8.8757396449704127E-3</v>
      </c>
      <c r="F152" s="348">
        <f>IFERROR(VLOOKUP($B152,'Unit costs'!$B$86:$F$173,5,FALSE)*(F128*('Set up'!F$21/'Set up'!E$21)),"")</f>
        <v>8.8757396449704127E-3</v>
      </c>
    </row>
    <row r="153" spans="2:6" s="158" customFormat="1" ht="15.75" thickBot="1" x14ac:dyDescent="0.3">
      <c r="B153" s="242" t="str">
        <f t="shared" si="7"/>
        <v>Ethanol (2.5 L)</v>
      </c>
      <c r="C153" s="353">
        <f>IFERROR(VLOOKUP($B153,'Unit costs'!$B$86:$F$173,5,FALSE)*(C129*('Set up'!F$18/'Set up'!E$18)),"")</f>
        <v>7.5604838709677419E-6</v>
      </c>
      <c r="D153" s="353">
        <f>IFERROR(VLOOKUP($B153,'Unit costs'!$B$86:$F$173,5,FALSE)*(D129*('Set up'!F$19/'Set up'!E$19)),"")</f>
        <v>7.5604838709677419E-6</v>
      </c>
      <c r="E153" s="348">
        <f>IFERROR(VLOOKUP($B153,'Unit costs'!$B$86:$F$173,5,FALSE)*(E129*('Set up'!F$20/'Set up'!E$20)),"")</f>
        <v>3.3482142857142852E-5</v>
      </c>
      <c r="F153" s="348">
        <f>IFERROR(VLOOKUP($B153,'Unit costs'!$B$86:$F$173,5,FALSE)*(F129*('Set up'!F$21/'Set up'!E$21)),"")</f>
        <v>3.3482142857142852E-5</v>
      </c>
    </row>
    <row r="154" spans="2:6" s="158" customFormat="1" ht="15.75" thickBot="1" x14ac:dyDescent="0.3">
      <c r="B154" s="242" t="str">
        <f t="shared" si="7"/>
        <v>Bleach (10% sodium hyperchloride) (3.5 gallons)</v>
      </c>
      <c r="C154" s="353">
        <f>IFERROR(VLOOKUP($B154,'Unit costs'!$B$86:$F$173,5,FALSE)*(C130*('Set up'!F$18/'Set up'!E$18)),"")</f>
        <v>5.0467741935483867E-7</v>
      </c>
      <c r="D154" s="353">
        <f>IFERROR(VLOOKUP($B154,'Unit costs'!$B$86:$F$173,5,FALSE)*(D130*('Set up'!F$19/'Set up'!E$19)),"")</f>
        <v>5.0467741935483867E-7</v>
      </c>
      <c r="E154" s="348">
        <f>IFERROR(VLOOKUP($B154,'Unit costs'!$B$86:$F$173,5,FALSE)*(E130*('Set up'!F$20/'Set up'!E$20)),"")</f>
        <v>2.2350000000000002E-6</v>
      </c>
      <c r="F154" s="348">
        <f>IFERROR(VLOOKUP($B154,'Unit costs'!$B$86:$F$173,5,FALSE)*(F130*('Set up'!F$21/'Set up'!E$21)),"")</f>
        <v>2.2350000000000002E-6</v>
      </c>
    </row>
    <row r="155" spans="2:6" s="158" customFormat="1" ht="15.75" thickBot="1" x14ac:dyDescent="0.3">
      <c r="B155" s="242" t="str">
        <f t="shared" si="7"/>
        <v>Tape (pack of 4)</v>
      </c>
      <c r="C155" s="353">
        <f>IFERROR(VLOOKUP($B155,'Unit costs'!$B$86:$F$173,5,FALSE)*(C131*('Set up'!F$18/'Set up'!E$18)),"")</f>
        <v>1.0322580645161291E-6</v>
      </c>
      <c r="D155" s="353">
        <f>IFERROR(VLOOKUP($B155,'Unit costs'!$B$86:$F$173,5,FALSE)*(D131*('Set up'!F$19/'Set up'!E$19)),"")</f>
        <v>1.0322580645161291E-6</v>
      </c>
      <c r="E155" s="348">
        <f>IFERROR(VLOOKUP($B155,'Unit costs'!$B$86:$F$173,5,FALSE)*(E131*('Set up'!F$20/'Set up'!E$20)),"")</f>
        <v>4.5714285714285711E-6</v>
      </c>
      <c r="F155" s="348">
        <f>IFERROR(VLOOKUP($B155,'Unit costs'!$B$86:$F$173,5,FALSE)*(F131*('Set up'!F$21/'Set up'!E$21)),"")</f>
        <v>4.5714285714285711E-6</v>
      </c>
    </row>
    <row r="156" spans="2:6" s="158" customFormat="1" ht="15.75" thickBot="1" x14ac:dyDescent="0.3">
      <c r="B156" s="242" t="str">
        <f t="shared" si="7"/>
        <v>Serological pipettes (3ml) (box of 480)</v>
      </c>
      <c r="C156" s="353">
        <f>IFERROR(VLOOKUP($B156,'Unit costs'!$B$86:$F$173,5,FALSE)*(C132*('Set up'!F$18/'Set up'!E$18)),"")</f>
        <v>1.8817204301075268E-3</v>
      </c>
      <c r="D156" s="353">
        <f>IFERROR(VLOOKUP($B156,'Unit costs'!$B$86:$F$173,5,FALSE)*(D132*('Set up'!F$19/'Set up'!E$19)),"")</f>
        <v>1.8817204301075268E-3</v>
      </c>
      <c r="E156" s="348">
        <f>IFERROR(VLOOKUP($B156,'Unit costs'!$B$86:$F$173,5,FALSE)*(E132*('Set up'!F$20/'Set up'!E$20)),"")</f>
        <v>8.3333333333333332E-3</v>
      </c>
      <c r="F156" s="348">
        <f>IFERROR(VLOOKUP($B156,'Unit costs'!$B$86:$F$173,5,FALSE)*(F132*('Set up'!F$21/'Set up'!E$21)),"")</f>
        <v>8.3333333333333332E-3</v>
      </c>
    </row>
    <row r="157" spans="2:6" s="158" customFormat="1" ht="15.75" thickBot="1" x14ac:dyDescent="0.3">
      <c r="B157" s="243" t="str">
        <f t="shared" si="7"/>
        <v>Plasma Processing tubes (pack of 1000)</v>
      </c>
      <c r="C157" s="353">
        <f>IFERROR(VLOOKUP($B157,'Unit costs'!$B$86:$F$173,5,FALSE)*(C133*('Set up'!F$18/'Set up'!E$18)),"")</f>
        <v>5.2580645161290325E-3</v>
      </c>
      <c r="D157" s="353">
        <f>IFERROR(VLOOKUP($B157,'Unit costs'!$B$86:$F$173,5,FALSE)*(D133*('Set up'!F$19/'Set up'!E$19)),"")</f>
        <v>5.2580645161290325E-3</v>
      </c>
      <c r="E157" s="348">
        <f>IFERROR(VLOOKUP($B157,'Unit costs'!$B$86:$F$173,5,FALSE)*(E133*('Set up'!F$20/'Set up'!E$20)),"")</f>
        <v>2.3285714285714285E-2</v>
      </c>
      <c r="F157" s="348">
        <f>IFERROR(VLOOKUP($B157,'Unit costs'!$B$86:$F$173,5,FALSE)*(F133*('Set up'!F$21/'Set up'!E$21)),"")</f>
        <v>2.3285714285714285E-2</v>
      </c>
    </row>
    <row r="158" spans="2:6" s="158" customFormat="1" ht="15.75" thickBot="1" x14ac:dyDescent="0.3">
      <c r="B158" s="242" t="str">
        <f t="shared" si="7"/>
        <v>DBS kit (gloves, swabs, lancet, pricker, capillary tube, filter paper, minipax absorbant, plastic bag for sample) (Box of 50)</v>
      </c>
      <c r="C158" s="353">
        <f>IFERROR(VLOOKUP($B158,'Unit costs'!$B$86:$F$173,5,FALSE)*(C134*('Set up'!F$18/'Set up'!E$18)),"")</f>
        <v>5.0322580645161291E-2</v>
      </c>
      <c r="D158" s="353">
        <f>IFERROR(VLOOKUP($B158,'Unit costs'!$B$86:$F$173,5,FALSE)*(D134*('Set up'!F$19/'Set up'!E$19)),"")</f>
        <v>5.0322580645161291E-2</v>
      </c>
      <c r="E158" s="348">
        <f>IFERROR(VLOOKUP($B158,'Unit costs'!$B$86:$F$173,5,FALSE)*(E134*('Set up'!F$20/'Set up'!E$20)),"")</f>
        <v>0.22285714285714286</v>
      </c>
      <c r="F158" s="348">
        <f>IFERROR(VLOOKUP($B158,'Unit costs'!$B$86:$F$173,5,FALSE)*(F134*('Set up'!F$21/'Set up'!E$21)),"")</f>
        <v>0.22285714285714286</v>
      </c>
    </row>
    <row r="159" spans="2:6" s="158" customFormat="1" ht="15.75" thickBot="1" x14ac:dyDescent="0.3">
      <c r="B159" s="242" t="str">
        <f t="shared" ref="B159:B165" si="8">B135</f>
        <v>Other items</v>
      </c>
      <c r="C159" s="353" t="str">
        <f>IFERROR(VLOOKUP($B159,'Unit costs'!$B$86:$F$173,5,FALSE)*(C135*('Set up'!F$18/'Set up'!E$18)),"")</f>
        <v/>
      </c>
      <c r="D159" s="353" t="str">
        <f>IFERROR(VLOOKUP($B159,'Unit costs'!$B$86:$F$173,5,FALSE)*(D135*('Set up'!F$19/'Set up'!E$19)),"")</f>
        <v/>
      </c>
      <c r="E159" s="348" t="str">
        <f>IFERROR(VLOOKUP($B159,'Unit costs'!$B$86:$F$173,5,FALSE)*(E135*('Set up'!F$20/'Set up'!E$20)),"")</f>
        <v/>
      </c>
      <c r="F159" s="348" t="str">
        <f>IFERROR(VLOOKUP($B159,'Unit costs'!$B$86:$F$173,5,FALSE)*(F135*('Set up'!F$21/'Set up'!E$21)),"")</f>
        <v/>
      </c>
    </row>
    <row r="160" spans="2:6" s="158" customFormat="1" ht="15.75" thickBot="1" x14ac:dyDescent="0.3">
      <c r="B160" s="242" t="str">
        <f t="shared" si="8"/>
        <v>Other items</v>
      </c>
      <c r="C160" s="353" t="str">
        <f>IFERROR(VLOOKUP($B160,'Unit costs'!$B$86:$F$173,5,FALSE)*(C136*('Set up'!F$18/'Set up'!E$18)),"")</f>
        <v/>
      </c>
      <c r="D160" s="353" t="str">
        <f>IFERROR(VLOOKUP($B160,'Unit costs'!$B$86:$F$173,5,FALSE)*(D136*('Set up'!F$19/'Set up'!E$19)),"")</f>
        <v/>
      </c>
      <c r="E160" s="348" t="str">
        <f>IFERROR(VLOOKUP($B160,'Unit costs'!$B$86:$F$173,5,FALSE)*(E136*('Set up'!F$20/'Set up'!E$20)),"")</f>
        <v/>
      </c>
      <c r="F160" s="348" t="str">
        <f>IFERROR(VLOOKUP($B160,'Unit costs'!$B$86:$F$173,5,FALSE)*(F136*('Set up'!F$21/'Set up'!E$21)),"")</f>
        <v/>
      </c>
    </row>
    <row r="161" spans="2:13" s="158" customFormat="1" ht="15.75" thickBot="1" x14ac:dyDescent="0.3">
      <c r="B161" s="242" t="str">
        <f t="shared" si="8"/>
        <v>Other items</v>
      </c>
      <c r="C161" s="353" t="str">
        <f>IFERROR(VLOOKUP($B161,'Unit costs'!$B$86:$F$173,5,FALSE)*(C137*('Set up'!F$18/'Set up'!E$18)),"")</f>
        <v/>
      </c>
      <c r="D161" s="353" t="str">
        <f>IFERROR(VLOOKUP($B161,'Unit costs'!$B$86:$F$173,5,FALSE)*(D137*('Set up'!F$19/'Set up'!E$19)),"")</f>
        <v/>
      </c>
      <c r="E161" s="348" t="str">
        <f>IFERROR(VLOOKUP($B161,'Unit costs'!$B$86:$F$173,5,FALSE)*(E137*('Set up'!F$20/'Set up'!E$20)),"")</f>
        <v/>
      </c>
      <c r="F161" s="348" t="str">
        <f>IFERROR(VLOOKUP($B161,'Unit costs'!$B$86:$F$173,5,FALSE)*(F137*('Set up'!F$21/'Set up'!E$21)),"")</f>
        <v/>
      </c>
    </row>
    <row r="162" spans="2:13" s="158" customFormat="1" ht="15.75" thickBot="1" x14ac:dyDescent="0.3">
      <c r="B162" s="242" t="str">
        <f t="shared" si="8"/>
        <v>Other items</v>
      </c>
      <c r="C162" s="353" t="str">
        <f>IFERROR(VLOOKUP($B162,'Unit costs'!$B$86:$F$173,5,FALSE)*(C138*('Set up'!F$18/'Set up'!E$18)),"")</f>
        <v/>
      </c>
      <c r="D162" s="353" t="str">
        <f>IFERROR(VLOOKUP($B162,'Unit costs'!$B$86:$F$173,5,FALSE)*(D138*('Set up'!F$19/'Set up'!E$19)),"")</f>
        <v/>
      </c>
      <c r="E162" s="348" t="str">
        <f>IFERROR(VLOOKUP($B162,'Unit costs'!$B$86:$F$173,5,FALSE)*(E138*('Set up'!F$20/'Set up'!E$20)),"")</f>
        <v/>
      </c>
      <c r="F162" s="348" t="str">
        <f>IFERROR(VLOOKUP($B162,'Unit costs'!$B$86:$F$173,5,FALSE)*(F138*('Set up'!F$21/'Set up'!E$21)),"")</f>
        <v/>
      </c>
    </row>
    <row r="163" spans="2:13" s="158" customFormat="1" ht="15.75" thickBot="1" x14ac:dyDescent="0.3">
      <c r="B163" s="242" t="str">
        <f t="shared" si="8"/>
        <v>Other items</v>
      </c>
      <c r="C163" s="353" t="str">
        <f>IFERROR(VLOOKUP($B163,'Unit costs'!$B$86:$F$173,5,FALSE)*(C139*('Set up'!F$18/'Set up'!E$18)),"")</f>
        <v/>
      </c>
      <c r="D163" s="353" t="str">
        <f>IFERROR(VLOOKUP($B163,'Unit costs'!$B$86:$F$173,5,FALSE)*(D139*('Set up'!F$19/'Set up'!E$19)),"")</f>
        <v/>
      </c>
      <c r="E163" s="348" t="str">
        <f>IFERROR(VLOOKUP($B163,'Unit costs'!$B$86:$F$173,5,FALSE)*(E139*('Set up'!F$20/'Set up'!E$20)),"")</f>
        <v/>
      </c>
      <c r="F163" s="348" t="str">
        <f>IFERROR(VLOOKUP($B163,'Unit costs'!$B$86:$F$173,5,FALSE)*(F139*('Set up'!F$21/'Set up'!E$21)),"")</f>
        <v/>
      </c>
    </row>
    <row r="164" spans="2:13" s="158" customFormat="1" ht="15.75" thickBot="1" x14ac:dyDescent="0.3">
      <c r="B164" s="242" t="str">
        <f t="shared" si="8"/>
        <v>Other items</v>
      </c>
      <c r="C164" s="353" t="str">
        <f>IFERROR(VLOOKUP($B164,'Unit costs'!$B$86:$F$173,5,FALSE)*(C140*('Set up'!F$18/'Set up'!E$18)),"")</f>
        <v/>
      </c>
      <c r="D164" s="353" t="str">
        <f>IFERROR(VLOOKUP($B164,'Unit costs'!$B$86:$F$173,5,FALSE)*(D140*('Set up'!F$19/'Set up'!E$19)),"")</f>
        <v/>
      </c>
      <c r="E164" s="348" t="str">
        <f>IFERROR(VLOOKUP($B164,'Unit costs'!$B$86:$F$173,5,FALSE)*(E140*('Set up'!F$20/'Set up'!E$20)),"")</f>
        <v/>
      </c>
      <c r="F164" s="348" t="str">
        <f>IFERROR(VLOOKUP($B164,'Unit costs'!$B$86:$F$173,5,FALSE)*(F140*('Set up'!F$21/'Set up'!E$21)),"")</f>
        <v/>
      </c>
    </row>
    <row r="165" spans="2:13" s="158" customFormat="1" x14ac:dyDescent="0.25">
      <c r="B165" s="242" t="str">
        <f t="shared" si="8"/>
        <v>Other items</v>
      </c>
      <c r="C165" s="353" t="str">
        <f>IFERROR(VLOOKUP($B165,'Unit costs'!$B$86:$F$173,5,FALSE)*(C141*('Set up'!F$18/'Set up'!E$18)),"")</f>
        <v/>
      </c>
      <c r="D165" s="353" t="str">
        <f>IFERROR(VLOOKUP($B165,'Unit costs'!$B$86:$F$173,5,FALSE)*(D141*('Set up'!F$19/'Set up'!E$19)),"")</f>
        <v/>
      </c>
      <c r="E165" s="348" t="str">
        <f>IFERROR(VLOOKUP($B165,'Unit costs'!$B$86:$F$173,5,FALSE)*(E141*('Set up'!F$20/'Set up'!E$20)),"")</f>
        <v/>
      </c>
      <c r="F165" s="348" t="str">
        <f>IFERROR(VLOOKUP($B165,'Unit costs'!$B$86:$F$173,5,FALSE)*(F141*('Set up'!F$21/'Set up'!E$21)),"")</f>
        <v/>
      </c>
    </row>
    <row r="166" spans="2:13" s="158" customFormat="1" x14ac:dyDescent="0.25">
      <c r="B166" s="207"/>
      <c r="C166" s="207"/>
      <c r="D166" s="207"/>
      <c r="E166" s="207"/>
      <c r="F166" s="207"/>
      <c r="G166" s="207"/>
      <c r="H166" s="207"/>
      <c r="I166" s="207"/>
      <c r="J166" s="207"/>
      <c r="K166" s="207"/>
      <c r="L166" s="207"/>
    </row>
    <row r="168" spans="2:13" ht="21" customHeight="1" x14ac:dyDescent="0.25">
      <c r="B168" s="444" t="s">
        <v>75</v>
      </c>
      <c r="C168" s="444"/>
      <c r="D168" s="444"/>
      <c r="E168" s="444"/>
      <c r="F168" s="444"/>
      <c r="G168" s="444"/>
      <c r="H168" s="444"/>
      <c r="I168" s="444"/>
      <c r="J168" s="444"/>
      <c r="K168" s="444"/>
      <c r="L168" s="444"/>
      <c r="M168" s="164"/>
    </row>
    <row r="169" spans="2:13" s="158" customFormat="1" ht="15.75" thickBot="1" x14ac:dyDescent="0.3">
      <c r="B169" s="174"/>
      <c r="C169" s="174"/>
      <c r="D169" s="174"/>
      <c r="E169" s="174"/>
      <c r="F169" s="174"/>
      <c r="G169" s="174"/>
      <c r="H169" s="174"/>
      <c r="I169" s="174"/>
      <c r="J169" s="112"/>
      <c r="K169" s="112"/>
      <c r="L169" s="112"/>
    </row>
    <row r="170" spans="2:13" s="158" customFormat="1" ht="45" customHeight="1" thickBot="1" x14ac:dyDescent="0.3">
      <c r="B170" s="139" t="s">
        <v>97</v>
      </c>
      <c r="C170" s="247" t="str">
        <f>'Set up'!B18</f>
        <v>Abbott M2000 RealTime</v>
      </c>
      <c r="D170" s="248" t="str">
        <f>'Set up'!B19</f>
        <v>Abbott M2000 RealTime</v>
      </c>
      <c r="E170" s="248" t="str">
        <f>'Set up'!B20</f>
        <v>Roche COBAS Ampliprep/TaqMan 48</v>
      </c>
      <c r="F170" s="409" t="str">
        <f>'Set up'!B21</f>
        <v>Roche COBAS Ampliprep/TaqMan 48</v>
      </c>
    </row>
    <row r="171" spans="2:13" s="158" customFormat="1" x14ac:dyDescent="0.25">
      <c r="B171" s="244" t="s">
        <v>76</v>
      </c>
      <c r="C171" s="172" t="s">
        <v>531</v>
      </c>
      <c r="D171" s="172"/>
      <c r="E171" s="172"/>
      <c r="F171" s="172"/>
    </row>
    <row r="172" spans="2:13" s="158" customFormat="1" x14ac:dyDescent="0.25">
      <c r="B172" s="184" t="s">
        <v>77</v>
      </c>
      <c r="C172" s="144"/>
      <c r="D172" s="144"/>
      <c r="E172" s="144"/>
      <c r="F172" s="144"/>
    </row>
    <row r="173" spans="2:13" s="158" customFormat="1" x14ac:dyDescent="0.25">
      <c r="B173" s="184" t="s">
        <v>78</v>
      </c>
      <c r="C173" s="144"/>
      <c r="D173" s="144"/>
      <c r="E173" s="144"/>
      <c r="F173" s="144"/>
    </row>
    <row r="174" spans="2:13" s="158" customFormat="1" x14ac:dyDescent="0.25">
      <c r="B174" s="184" t="s">
        <v>79</v>
      </c>
      <c r="C174" s="144"/>
      <c r="D174" s="144"/>
      <c r="E174" s="144"/>
      <c r="F174" s="144"/>
    </row>
    <row r="175" spans="2:13" s="158" customFormat="1" x14ac:dyDescent="0.25">
      <c r="B175" s="184" t="s">
        <v>80</v>
      </c>
      <c r="C175" s="144"/>
      <c r="D175" s="144"/>
      <c r="E175" s="144"/>
      <c r="F175" s="144"/>
    </row>
    <row r="176" spans="2:13" s="158" customFormat="1" x14ac:dyDescent="0.25">
      <c r="B176" s="184" t="s">
        <v>81</v>
      </c>
      <c r="C176" s="144"/>
      <c r="D176" s="144"/>
      <c r="E176" s="144"/>
      <c r="F176" s="144"/>
    </row>
    <row r="177" spans="2:12" s="158" customFormat="1" x14ac:dyDescent="0.25">
      <c r="B177" s="184" t="s">
        <v>82</v>
      </c>
      <c r="C177" s="144"/>
      <c r="D177" s="144"/>
      <c r="E177" s="144"/>
      <c r="F177" s="144"/>
    </row>
    <row r="178" spans="2:12" s="158" customFormat="1" x14ac:dyDescent="0.25">
      <c r="B178" s="184" t="s">
        <v>83</v>
      </c>
      <c r="C178" s="144"/>
      <c r="D178" s="144"/>
      <c r="E178" s="144"/>
      <c r="F178" s="144"/>
    </row>
    <row r="179" spans="2:12" s="158" customFormat="1" x14ac:dyDescent="0.25">
      <c r="B179" s="184" t="s">
        <v>84</v>
      </c>
      <c r="C179" s="144"/>
      <c r="D179" s="144"/>
      <c r="E179" s="144"/>
      <c r="F179" s="144"/>
    </row>
    <row r="180" spans="2:12" s="158" customFormat="1" x14ac:dyDescent="0.25">
      <c r="B180" s="184" t="s">
        <v>85</v>
      </c>
      <c r="C180" s="144"/>
      <c r="D180" s="144"/>
      <c r="E180" s="144"/>
      <c r="F180" s="144"/>
    </row>
    <row r="181" spans="2:12" s="158" customFormat="1" x14ac:dyDescent="0.25"/>
    <row r="182" spans="2:12" s="158" customFormat="1" x14ac:dyDescent="0.25">
      <c r="B182" s="120"/>
      <c r="C182" s="120"/>
      <c r="D182" s="120"/>
      <c r="E182" s="120"/>
      <c r="F182" s="120"/>
      <c r="G182" s="120"/>
      <c r="H182" s="120"/>
      <c r="I182" s="120"/>
      <c r="J182" s="120"/>
      <c r="K182" s="120"/>
      <c r="L182" s="120"/>
    </row>
    <row r="183" spans="2:12" x14ac:dyDescent="0.25">
      <c r="B183" s="210" t="s">
        <v>347</v>
      </c>
    </row>
    <row r="184" spans="2:12" x14ac:dyDescent="0.25">
      <c r="B184" s="120" t="s">
        <v>352</v>
      </c>
    </row>
  </sheetData>
  <sheetProtection password="C441" sheet="1" objects="1" scenarios="1"/>
  <mergeCells count="39">
    <mergeCell ref="E114:G114"/>
    <mergeCell ref="E115:G115"/>
    <mergeCell ref="E116:G116"/>
    <mergeCell ref="E109:G109"/>
    <mergeCell ref="E110:G110"/>
    <mergeCell ref="E111:G111"/>
    <mergeCell ref="E112:G112"/>
    <mergeCell ref="E113:G113"/>
    <mergeCell ref="E104:G104"/>
    <mergeCell ref="E105:G105"/>
    <mergeCell ref="E106:G106"/>
    <mergeCell ref="E107:G107"/>
    <mergeCell ref="E108:G108"/>
    <mergeCell ref="E99:G99"/>
    <mergeCell ref="E100:G100"/>
    <mergeCell ref="E101:G101"/>
    <mergeCell ref="E102:G102"/>
    <mergeCell ref="E103:G103"/>
    <mergeCell ref="B1:D1"/>
    <mergeCell ref="E1:G1"/>
    <mergeCell ref="B2:D2"/>
    <mergeCell ref="B3:D3"/>
    <mergeCell ref="B4:D4"/>
    <mergeCell ref="B6:H6"/>
    <mergeCell ref="B118:G118"/>
    <mergeCell ref="B143:F143"/>
    <mergeCell ref="B168:L168"/>
    <mergeCell ref="B13:L13"/>
    <mergeCell ref="H15:N15"/>
    <mergeCell ref="B51:L51"/>
    <mergeCell ref="B53:F53"/>
    <mergeCell ref="B71:F71"/>
    <mergeCell ref="B89:L89"/>
    <mergeCell ref="E93:G93"/>
    <mergeCell ref="E94:G94"/>
    <mergeCell ref="E95:G95"/>
    <mergeCell ref="E96:G96"/>
    <mergeCell ref="E97:G97"/>
    <mergeCell ref="E98:G98"/>
  </mergeCells>
  <dataValidations count="4">
    <dataValidation type="list" allowBlank="1" showInputMessage="1" showErrorMessage="1" sqref="WVR983099 C65632:I65632 IY65633:JE65633 SU65633:TA65633 ACQ65633:ACW65633 AMM65633:AMS65633 AWI65633:AWO65633 BGE65633:BGK65633 BQA65633:BQG65633 BZW65633:CAC65633 CJS65633:CJY65633 CTO65633:CTU65633 DDK65633:DDQ65633 DNG65633:DNM65633 DXC65633:DXI65633 EGY65633:EHE65633 EQU65633:ERA65633 FAQ65633:FAW65633 FKM65633:FKS65633 FUI65633:FUO65633 GEE65633:GEK65633 GOA65633:GOG65633 GXW65633:GYC65633 HHS65633:HHY65633 HRO65633:HRU65633 IBK65633:IBQ65633 ILG65633:ILM65633 IVC65633:IVI65633 JEY65633:JFE65633 JOU65633:JPA65633 JYQ65633:JYW65633 KIM65633:KIS65633 KSI65633:KSO65633 LCE65633:LCK65633 LMA65633:LMG65633 LVW65633:LWC65633 MFS65633:MFY65633 MPO65633:MPU65633 MZK65633:MZQ65633 NJG65633:NJM65633 NTC65633:NTI65633 OCY65633:ODE65633 OMU65633:ONA65633 OWQ65633:OWW65633 PGM65633:PGS65633 PQI65633:PQO65633 QAE65633:QAK65633 QKA65633:QKG65633 QTW65633:QUC65633 RDS65633:RDY65633 RNO65633:RNU65633 RXK65633:RXQ65633 SHG65633:SHM65633 SRC65633:SRI65633 TAY65633:TBE65633 TKU65633:TLA65633 TUQ65633:TUW65633 UEM65633:UES65633 UOI65633:UOO65633 UYE65633:UYK65633 VIA65633:VIG65633 VRW65633:VSC65633 WBS65633:WBY65633 WLO65633:WLU65633 WVK65633:WVQ65633 C131168:I131168 IY131169:JE131169 SU131169:TA131169 ACQ131169:ACW131169 AMM131169:AMS131169 AWI131169:AWO131169 BGE131169:BGK131169 BQA131169:BQG131169 BZW131169:CAC131169 CJS131169:CJY131169 CTO131169:CTU131169 DDK131169:DDQ131169 DNG131169:DNM131169 DXC131169:DXI131169 EGY131169:EHE131169 EQU131169:ERA131169 FAQ131169:FAW131169 FKM131169:FKS131169 FUI131169:FUO131169 GEE131169:GEK131169 GOA131169:GOG131169 GXW131169:GYC131169 HHS131169:HHY131169 HRO131169:HRU131169 IBK131169:IBQ131169 ILG131169:ILM131169 IVC131169:IVI131169 JEY131169:JFE131169 JOU131169:JPA131169 JYQ131169:JYW131169 KIM131169:KIS131169 KSI131169:KSO131169 LCE131169:LCK131169 LMA131169:LMG131169 LVW131169:LWC131169 MFS131169:MFY131169 MPO131169:MPU131169 MZK131169:MZQ131169 NJG131169:NJM131169 NTC131169:NTI131169 OCY131169:ODE131169 OMU131169:ONA131169 OWQ131169:OWW131169 PGM131169:PGS131169 PQI131169:PQO131169 QAE131169:QAK131169 QKA131169:QKG131169 QTW131169:QUC131169 RDS131169:RDY131169 RNO131169:RNU131169 RXK131169:RXQ131169 SHG131169:SHM131169 SRC131169:SRI131169 TAY131169:TBE131169 TKU131169:TLA131169 TUQ131169:TUW131169 UEM131169:UES131169 UOI131169:UOO131169 UYE131169:UYK131169 VIA131169:VIG131169 VRW131169:VSC131169 WBS131169:WBY131169 WLO131169:WLU131169 WVK131169:WVQ131169 C196704:I196704 IY196705:JE196705 SU196705:TA196705 ACQ196705:ACW196705 AMM196705:AMS196705 AWI196705:AWO196705 BGE196705:BGK196705 BQA196705:BQG196705 BZW196705:CAC196705 CJS196705:CJY196705 CTO196705:CTU196705 DDK196705:DDQ196705 DNG196705:DNM196705 DXC196705:DXI196705 EGY196705:EHE196705 EQU196705:ERA196705 FAQ196705:FAW196705 FKM196705:FKS196705 FUI196705:FUO196705 GEE196705:GEK196705 GOA196705:GOG196705 GXW196705:GYC196705 HHS196705:HHY196705 HRO196705:HRU196705 IBK196705:IBQ196705 ILG196705:ILM196705 IVC196705:IVI196705 JEY196705:JFE196705 JOU196705:JPA196705 JYQ196705:JYW196705 KIM196705:KIS196705 KSI196705:KSO196705 LCE196705:LCK196705 LMA196705:LMG196705 LVW196705:LWC196705 MFS196705:MFY196705 MPO196705:MPU196705 MZK196705:MZQ196705 NJG196705:NJM196705 NTC196705:NTI196705 OCY196705:ODE196705 OMU196705:ONA196705 OWQ196705:OWW196705 PGM196705:PGS196705 PQI196705:PQO196705 QAE196705:QAK196705 QKA196705:QKG196705 QTW196705:QUC196705 RDS196705:RDY196705 RNO196705:RNU196705 RXK196705:RXQ196705 SHG196705:SHM196705 SRC196705:SRI196705 TAY196705:TBE196705 TKU196705:TLA196705 TUQ196705:TUW196705 UEM196705:UES196705 UOI196705:UOO196705 UYE196705:UYK196705 VIA196705:VIG196705 VRW196705:VSC196705 WBS196705:WBY196705 WLO196705:WLU196705 WVK196705:WVQ196705 C262240:I262240 IY262241:JE262241 SU262241:TA262241 ACQ262241:ACW262241 AMM262241:AMS262241 AWI262241:AWO262241 BGE262241:BGK262241 BQA262241:BQG262241 BZW262241:CAC262241 CJS262241:CJY262241 CTO262241:CTU262241 DDK262241:DDQ262241 DNG262241:DNM262241 DXC262241:DXI262241 EGY262241:EHE262241 EQU262241:ERA262241 FAQ262241:FAW262241 FKM262241:FKS262241 FUI262241:FUO262241 GEE262241:GEK262241 GOA262241:GOG262241 GXW262241:GYC262241 HHS262241:HHY262241 HRO262241:HRU262241 IBK262241:IBQ262241 ILG262241:ILM262241 IVC262241:IVI262241 JEY262241:JFE262241 JOU262241:JPA262241 JYQ262241:JYW262241 KIM262241:KIS262241 KSI262241:KSO262241 LCE262241:LCK262241 LMA262241:LMG262241 LVW262241:LWC262241 MFS262241:MFY262241 MPO262241:MPU262241 MZK262241:MZQ262241 NJG262241:NJM262241 NTC262241:NTI262241 OCY262241:ODE262241 OMU262241:ONA262241 OWQ262241:OWW262241 PGM262241:PGS262241 PQI262241:PQO262241 QAE262241:QAK262241 QKA262241:QKG262241 QTW262241:QUC262241 RDS262241:RDY262241 RNO262241:RNU262241 RXK262241:RXQ262241 SHG262241:SHM262241 SRC262241:SRI262241 TAY262241:TBE262241 TKU262241:TLA262241 TUQ262241:TUW262241 UEM262241:UES262241 UOI262241:UOO262241 UYE262241:UYK262241 VIA262241:VIG262241 VRW262241:VSC262241 WBS262241:WBY262241 WLO262241:WLU262241 WVK262241:WVQ262241 C327776:I327776 IY327777:JE327777 SU327777:TA327777 ACQ327777:ACW327777 AMM327777:AMS327777 AWI327777:AWO327777 BGE327777:BGK327777 BQA327777:BQG327777 BZW327777:CAC327777 CJS327777:CJY327777 CTO327777:CTU327777 DDK327777:DDQ327777 DNG327777:DNM327777 DXC327777:DXI327777 EGY327777:EHE327777 EQU327777:ERA327777 FAQ327777:FAW327777 FKM327777:FKS327777 FUI327777:FUO327777 GEE327777:GEK327777 GOA327777:GOG327777 GXW327777:GYC327777 HHS327777:HHY327777 HRO327777:HRU327777 IBK327777:IBQ327777 ILG327777:ILM327777 IVC327777:IVI327777 JEY327777:JFE327777 JOU327777:JPA327777 JYQ327777:JYW327777 KIM327777:KIS327777 KSI327777:KSO327777 LCE327777:LCK327777 LMA327777:LMG327777 LVW327777:LWC327777 MFS327777:MFY327777 MPO327777:MPU327777 MZK327777:MZQ327777 NJG327777:NJM327777 NTC327777:NTI327777 OCY327777:ODE327777 OMU327777:ONA327777 OWQ327777:OWW327777 PGM327777:PGS327777 PQI327777:PQO327777 QAE327777:QAK327777 QKA327777:QKG327777 QTW327777:QUC327777 RDS327777:RDY327777 RNO327777:RNU327777 RXK327777:RXQ327777 SHG327777:SHM327777 SRC327777:SRI327777 TAY327777:TBE327777 TKU327777:TLA327777 TUQ327777:TUW327777 UEM327777:UES327777 UOI327777:UOO327777 UYE327777:UYK327777 VIA327777:VIG327777 VRW327777:VSC327777 WBS327777:WBY327777 WLO327777:WLU327777 WVK327777:WVQ327777 C393312:I393312 IY393313:JE393313 SU393313:TA393313 ACQ393313:ACW393313 AMM393313:AMS393313 AWI393313:AWO393313 BGE393313:BGK393313 BQA393313:BQG393313 BZW393313:CAC393313 CJS393313:CJY393313 CTO393313:CTU393313 DDK393313:DDQ393313 DNG393313:DNM393313 DXC393313:DXI393313 EGY393313:EHE393313 EQU393313:ERA393313 FAQ393313:FAW393313 FKM393313:FKS393313 FUI393313:FUO393313 GEE393313:GEK393313 GOA393313:GOG393313 GXW393313:GYC393313 HHS393313:HHY393313 HRO393313:HRU393313 IBK393313:IBQ393313 ILG393313:ILM393313 IVC393313:IVI393313 JEY393313:JFE393313 JOU393313:JPA393313 JYQ393313:JYW393313 KIM393313:KIS393313 KSI393313:KSO393313 LCE393313:LCK393313 LMA393313:LMG393313 LVW393313:LWC393313 MFS393313:MFY393313 MPO393313:MPU393313 MZK393313:MZQ393313 NJG393313:NJM393313 NTC393313:NTI393313 OCY393313:ODE393313 OMU393313:ONA393313 OWQ393313:OWW393313 PGM393313:PGS393313 PQI393313:PQO393313 QAE393313:QAK393313 QKA393313:QKG393313 QTW393313:QUC393313 RDS393313:RDY393313 RNO393313:RNU393313 RXK393313:RXQ393313 SHG393313:SHM393313 SRC393313:SRI393313 TAY393313:TBE393313 TKU393313:TLA393313 TUQ393313:TUW393313 UEM393313:UES393313 UOI393313:UOO393313 UYE393313:UYK393313 VIA393313:VIG393313 VRW393313:VSC393313 WBS393313:WBY393313 WLO393313:WLU393313 WVK393313:WVQ393313 C458848:I458848 IY458849:JE458849 SU458849:TA458849 ACQ458849:ACW458849 AMM458849:AMS458849 AWI458849:AWO458849 BGE458849:BGK458849 BQA458849:BQG458849 BZW458849:CAC458849 CJS458849:CJY458849 CTO458849:CTU458849 DDK458849:DDQ458849 DNG458849:DNM458849 DXC458849:DXI458849 EGY458849:EHE458849 EQU458849:ERA458849 FAQ458849:FAW458849 FKM458849:FKS458849 FUI458849:FUO458849 GEE458849:GEK458849 GOA458849:GOG458849 GXW458849:GYC458849 HHS458849:HHY458849 HRO458849:HRU458849 IBK458849:IBQ458849 ILG458849:ILM458849 IVC458849:IVI458849 JEY458849:JFE458849 JOU458849:JPA458849 JYQ458849:JYW458849 KIM458849:KIS458849 KSI458849:KSO458849 LCE458849:LCK458849 LMA458849:LMG458849 LVW458849:LWC458849 MFS458849:MFY458849 MPO458849:MPU458849 MZK458849:MZQ458849 NJG458849:NJM458849 NTC458849:NTI458849 OCY458849:ODE458849 OMU458849:ONA458849 OWQ458849:OWW458849 PGM458849:PGS458849 PQI458849:PQO458849 QAE458849:QAK458849 QKA458849:QKG458849 QTW458849:QUC458849 RDS458849:RDY458849 RNO458849:RNU458849 RXK458849:RXQ458849 SHG458849:SHM458849 SRC458849:SRI458849 TAY458849:TBE458849 TKU458849:TLA458849 TUQ458849:TUW458849 UEM458849:UES458849 UOI458849:UOO458849 UYE458849:UYK458849 VIA458849:VIG458849 VRW458849:VSC458849 WBS458849:WBY458849 WLO458849:WLU458849 WVK458849:WVQ458849 C524384:I524384 IY524385:JE524385 SU524385:TA524385 ACQ524385:ACW524385 AMM524385:AMS524385 AWI524385:AWO524385 BGE524385:BGK524385 BQA524385:BQG524385 BZW524385:CAC524385 CJS524385:CJY524385 CTO524385:CTU524385 DDK524385:DDQ524385 DNG524385:DNM524385 DXC524385:DXI524385 EGY524385:EHE524385 EQU524385:ERA524385 FAQ524385:FAW524385 FKM524385:FKS524385 FUI524385:FUO524385 GEE524385:GEK524385 GOA524385:GOG524385 GXW524385:GYC524385 HHS524385:HHY524385 HRO524385:HRU524385 IBK524385:IBQ524385 ILG524385:ILM524385 IVC524385:IVI524385 JEY524385:JFE524385 JOU524385:JPA524385 JYQ524385:JYW524385 KIM524385:KIS524385 KSI524385:KSO524385 LCE524385:LCK524385 LMA524385:LMG524385 LVW524385:LWC524385 MFS524385:MFY524385 MPO524385:MPU524385 MZK524385:MZQ524385 NJG524385:NJM524385 NTC524385:NTI524385 OCY524385:ODE524385 OMU524385:ONA524385 OWQ524385:OWW524385 PGM524385:PGS524385 PQI524385:PQO524385 QAE524385:QAK524385 QKA524385:QKG524385 QTW524385:QUC524385 RDS524385:RDY524385 RNO524385:RNU524385 RXK524385:RXQ524385 SHG524385:SHM524385 SRC524385:SRI524385 TAY524385:TBE524385 TKU524385:TLA524385 TUQ524385:TUW524385 UEM524385:UES524385 UOI524385:UOO524385 UYE524385:UYK524385 VIA524385:VIG524385 VRW524385:VSC524385 WBS524385:WBY524385 WLO524385:WLU524385 WVK524385:WVQ524385 C589920:I589920 IY589921:JE589921 SU589921:TA589921 ACQ589921:ACW589921 AMM589921:AMS589921 AWI589921:AWO589921 BGE589921:BGK589921 BQA589921:BQG589921 BZW589921:CAC589921 CJS589921:CJY589921 CTO589921:CTU589921 DDK589921:DDQ589921 DNG589921:DNM589921 DXC589921:DXI589921 EGY589921:EHE589921 EQU589921:ERA589921 FAQ589921:FAW589921 FKM589921:FKS589921 FUI589921:FUO589921 GEE589921:GEK589921 GOA589921:GOG589921 GXW589921:GYC589921 HHS589921:HHY589921 HRO589921:HRU589921 IBK589921:IBQ589921 ILG589921:ILM589921 IVC589921:IVI589921 JEY589921:JFE589921 JOU589921:JPA589921 JYQ589921:JYW589921 KIM589921:KIS589921 KSI589921:KSO589921 LCE589921:LCK589921 LMA589921:LMG589921 LVW589921:LWC589921 MFS589921:MFY589921 MPO589921:MPU589921 MZK589921:MZQ589921 NJG589921:NJM589921 NTC589921:NTI589921 OCY589921:ODE589921 OMU589921:ONA589921 OWQ589921:OWW589921 PGM589921:PGS589921 PQI589921:PQO589921 QAE589921:QAK589921 QKA589921:QKG589921 QTW589921:QUC589921 RDS589921:RDY589921 RNO589921:RNU589921 RXK589921:RXQ589921 SHG589921:SHM589921 SRC589921:SRI589921 TAY589921:TBE589921 TKU589921:TLA589921 TUQ589921:TUW589921 UEM589921:UES589921 UOI589921:UOO589921 UYE589921:UYK589921 VIA589921:VIG589921 VRW589921:VSC589921 WBS589921:WBY589921 WLO589921:WLU589921 WVK589921:WVQ589921 C655456:I655456 IY655457:JE655457 SU655457:TA655457 ACQ655457:ACW655457 AMM655457:AMS655457 AWI655457:AWO655457 BGE655457:BGK655457 BQA655457:BQG655457 BZW655457:CAC655457 CJS655457:CJY655457 CTO655457:CTU655457 DDK655457:DDQ655457 DNG655457:DNM655457 DXC655457:DXI655457 EGY655457:EHE655457 EQU655457:ERA655457 FAQ655457:FAW655457 FKM655457:FKS655457 FUI655457:FUO655457 GEE655457:GEK655457 GOA655457:GOG655457 GXW655457:GYC655457 HHS655457:HHY655457 HRO655457:HRU655457 IBK655457:IBQ655457 ILG655457:ILM655457 IVC655457:IVI655457 JEY655457:JFE655457 JOU655457:JPA655457 JYQ655457:JYW655457 KIM655457:KIS655457 KSI655457:KSO655457 LCE655457:LCK655457 LMA655457:LMG655457 LVW655457:LWC655457 MFS655457:MFY655457 MPO655457:MPU655457 MZK655457:MZQ655457 NJG655457:NJM655457 NTC655457:NTI655457 OCY655457:ODE655457 OMU655457:ONA655457 OWQ655457:OWW655457 PGM655457:PGS655457 PQI655457:PQO655457 QAE655457:QAK655457 QKA655457:QKG655457 QTW655457:QUC655457 RDS655457:RDY655457 RNO655457:RNU655457 RXK655457:RXQ655457 SHG655457:SHM655457 SRC655457:SRI655457 TAY655457:TBE655457 TKU655457:TLA655457 TUQ655457:TUW655457 UEM655457:UES655457 UOI655457:UOO655457 UYE655457:UYK655457 VIA655457:VIG655457 VRW655457:VSC655457 WBS655457:WBY655457 WLO655457:WLU655457 WVK655457:WVQ655457 C720992:I720992 IY720993:JE720993 SU720993:TA720993 ACQ720993:ACW720993 AMM720993:AMS720993 AWI720993:AWO720993 BGE720993:BGK720993 BQA720993:BQG720993 BZW720993:CAC720993 CJS720993:CJY720993 CTO720993:CTU720993 DDK720993:DDQ720993 DNG720993:DNM720993 DXC720993:DXI720993 EGY720993:EHE720993 EQU720993:ERA720993 FAQ720993:FAW720993 FKM720993:FKS720993 FUI720993:FUO720993 GEE720993:GEK720993 GOA720993:GOG720993 GXW720993:GYC720993 HHS720993:HHY720993 HRO720993:HRU720993 IBK720993:IBQ720993 ILG720993:ILM720993 IVC720993:IVI720993 JEY720993:JFE720993 JOU720993:JPA720993 JYQ720993:JYW720993 KIM720993:KIS720993 KSI720993:KSO720993 LCE720993:LCK720993 LMA720993:LMG720993 LVW720993:LWC720993 MFS720993:MFY720993 MPO720993:MPU720993 MZK720993:MZQ720993 NJG720993:NJM720993 NTC720993:NTI720993 OCY720993:ODE720993 OMU720993:ONA720993 OWQ720993:OWW720993 PGM720993:PGS720993 PQI720993:PQO720993 QAE720993:QAK720993 QKA720993:QKG720993 QTW720993:QUC720993 RDS720993:RDY720993 RNO720993:RNU720993 RXK720993:RXQ720993 SHG720993:SHM720993 SRC720993:SRI720993 TAY720993:TBE720993 TKU720993:TLA720993 TUQ720993:TUW720993 UEM720993:UES720993 UOI720993:UOO720993 UYE720993:UYK720993 VIA720993:VIG720993 VRW720993:VSC720993 WBS720993:WBY720993 WLO720993:WLU720993 WVK720993:WVQ720993 C786528:I786528 IY786529:JE786529 SU786529:TA786529 ACQ786529:ACW786529 AMM786529:AMS786529 AWI786529:AWO786529 BGE786529:BGK786529 BQA786529:BQG786529 BZW786529:CAC786529 CJS786529:CJY786529 CTO786529:CTU786529 DDK786529:DDQ786529 DNG786529:DNM786529 DXC786529:DXI786529 EGY786529:EHE786529 EQU786529:ERA786529 FAQ786529:FAW786529 FKM786529:FKS786529 FUI786529:FUO786529 GEE786529:GEK786529 GOA786529:GOG786529 GXW786529:GYC786529 HHS786529:HHY786529 HRO786529:HRU786529 IBK786529:IBQ786529 ILG786529:ILM786529 IVC786529:IVI786529 JEY786529:JFE786529 JOU786529:JPA786529 JYQ786529:JYW786529 KIM786529:KIS786529 KSI786529:KSO786529 LCE786529:LCK786529 LMA786529:LMG786529 LVW786529:LWC786529 MFS786529:MFY786529 MPO786529:MPU786529 MZK786529:MZQ786529 NJG786529:NJM786529 NTC786529:NTI786529 OCY786529:ODE786529 OMU786529:ONA786529 OWQ786529:OWW786529 PGM786529:PGS786529 PQI786529:PQO786529 QAE786529:QAK786529 QKA786529:QKG786529 QTW786529:QUC786529 RDS786529:RDY786529 RNO786529:RNU786529 RXK786529:RXQ786529 SHG786529:SHM786529 SRC786529:SRI786529 TAY786529:TBE786529 TKU786529:TLA786529 TUQ786529:TUW786529 UEM786529:UES786529 UOI786529:UOO786529 UYE786529:UYK786529 VIA786529:VIG786529 VRW786529:VSC786529 WBS786529:WBY786529 WLO786529:WLU786529 WVK786529:WVQ786529 C852064:I852064 IY852065:JE852065 SU852065:TA852065 ACQ852065:ACW852065 AMM852065:AMS852065 AWI852065:AWO852065 BGE852065:BGK852065 BQA852065:BQG852065 BZW852065:CAC852065 CJS852065:CJY852065 CTO852065:CTU852065 DDK852065:DDQ852065 DNG852065:DNM852065 DXC852065:DXI852065 EGY852065:EHE852065 EQU852065:ERA852065 FAQ852065:FAW852065 FKM852065:FKS852065 FUI852065:FUO852065 GEE852065:GEK852065 GOA852065:GOG852065 GXW852065:GYC852065 HHS852065:HHY852065 HRO852065:HRU852065 IBK852065:IBQ852065 ILG852065:ILM852065 IVC852065:IVI852065 JEY852065:JFE852065 JOU852065:JPA852065 JYQ852065:JYW852065 KIM852065:KIS852065 KSI852065:KSO852065 LCE852065:LCK852065 LMA852065:LMG852065 LVW852065:LWC852065 MFS852065:MFY852065 MPO852065:MPU852065 MZK852065:MZQ852065 NJG852065:NJM852065 NTC852065:NTI852065 OCY852065:ODE852065 OMU852065:ONA852065 OWQ852065:OWW852065 PGM852065:PGS852065 PQI852065:PQO852065 QAE852065:QAK852065 QKA852065:QKG852065 QTW852065:QUC852065 RDS852065:RDY852065 RNO852065:RNU852065 RXK852065:RXQ852065 SHG852065:SHM852065 SRC852065:SRI852065 TAY852065:TBE852065 TKU852065:TLA852065 TUQ852065:TUW852065 UEM852065:UES852065 UOI852065:UOO852065 UYE852065:UYK852065 VIA852065:VIG852065 VRW852065:VSC852065 WBS852065:WBY852065 WLO852065:WLU852065 WVK852065:WVQ852065 C917600:I917600 IY917601:JE917601 SU917601:TA917601 ACQ917601:ACW917601 AMM917601:AMS917601 AWI917601:AWO917601 BGE917601:BGK917601 BQA917601:BQG917601 BZW917601:CAC917601 CJS917601:CJY917601 CTO917601:CTU917601 DDK917601:DDQ917601 DNG917601:DNM917601 DXC917601:DXI917601 EGY917601:EHE917601 EQU917601:ERA917601 FAQ917601:FAW917601 FKM917601:FKS917601 FUI917601:FUO917601 GEE917601:GEK917601 GOA917601:GOG917601 GXW917601:GYC917601 HHS917601:HHY917601 HRO917601:HRU917601 IBK917601:IBQ917601 ILG917601:ILM917601 IVC917601:IVI917601 JEY917601:JFE917601 JOU917601:JPA917601 JYQ917601:JYW917601 KIM917601:KIS917601 KSI917601:KSO917601 LCE917601:LCK917601 LMA917601:LMG917601 LVW917601:LWC917601 MFS917601:MFY917601 MPO917601:MPU917601 MZK917601:MZQ917601 NJG917601:NJM917601 NTC917601:NTI917601 OCY917601:ODE917601 OMU917601:ONA917601 OWQ917601:OWW917601 PGM917601:PGS917601 PQI917601:PQO917601 QAE917601:QAK917601 QKA917601:QKG917601 QTW917601:QUC917601 RDS917601:RDY917601 RNO917601:RNU917601 RXK917601:RXQ917601 SHG917601:SHM917601 SRC917601:SRI917601 TAY917601:TBE917601 TKU917601:TLA917601 TUQ917601:TUW917601 UEM917601:UES917601 UOI917601:UOO917601 UYE917601:UYK917601 VIA917601:VIG917601 VRW917601:VSC917601 WBS917601:WBY917601 WLO917601:WLU917601 WVK917601:WVQ917601 C983136:I983136 IY983137:JE983137 SU983137:TA983137 ACQ983137:ACW983137 AMM983137:AMS983137 AWI983137:AWO983137 BGE983137:BGK983137 BQA983137:BQG983137 BZW983137:CAC983137 CJS983137:CJY983137 CTO983137:CTU983137 DDK983137:DDQ983137 DNG983137:DNM983137 DXC983137:DXI983137 EGY983137:EHE983137 EQU983137:ERA983137 FAQ983137:FAW983137 FKM983137:FKS983137 FUI983137:FUO983137 GEE983137:GEK983137 GOA983137:GOG983137 GXW983137:GYC983137 HHS983137:HHY983137 HRO983137:HRU983137 IBK983137:IBQ983137 ILG983137:ILM983137 IVC983137:IVI983137 JEY983137:JFE983137 JOU983137:JPA983137 JYQ983137:JYW983137 KIM983137:KIS983137 KSI983137:KSO983137 LCE983137:LCK983137 LMA983137:LMG983137 LVW983137:LWC983137 MFS983137:MFY983137 MPO983137:MPU983137 MZK983137:MZQ983137 NJG983137:NJM983137 NTC983137:NTI983137 OCY983137:ODE983137 OMU983137:ONA983137 OWQ983137:OWW983137 PGM983137:PGS983137 PQI983137:PQO983137 QAE983137:QAK983137 QKA983137:QKG983137 QTW983137:QUC983137 RDS983137:RDY983137 RNO983137:RNU983137 RXK983137:RXQ983137 SHG983137:SHM983137 SRC983137:SRI983137 TAY983137:TBE983137 TKU983137:TLA983137 TUQ983137:TUW983137 UEM983137:UES983137 UOI983137:UOO983137 UYE983137:UYK983137 VIA983137:VIG983137 VRW983137:VSC983137 WBS983137:WBY983137 WLO983137:WLU983137 WVK983137:WVQ983137 WLV983099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J65594 JF65595 TB65595 ACX65595 AMT65595 AWP65595 BGL65595 BQH65595 CAD65595 CJZ65595 CTV65595 DDR65595 DNN65595 DXJ65595 EHF65595 ERB65595 FAX65595 FKT65595 FUP65595 GEL65595 GOH65595 GYD65595 HHZ65595 HRV65595 IBR65595 ILN65595 IVJ65595 JFF65595 JPB65595 JYX65595 KIT65595 KSP65595 LCL65595 LMH65595 LWD65595 MFZ65595 MPV65595 MZR65595 NJN65595 NTJ65595 ODF65595 ONB65595 OWX65595 PGT65595 PQP65595 QAL65595 QKH65595 QUD65595 RDZ65595 RNV65595 RXR65595 SHN65595 SRJ65595 TBF65595 TLB65595 TUX65595 UET65595 UOP65595 UYL65595 VIH65595 VSD65595 WBZ65595 WLV65595 WVR65595 J131130 JF131131 TB131131 ACX131131 AMT131131 AWP131131 BGL131131 BQH131131 CAD131131 CJZ131131 CTV131131 DDR131131 DNN131131 DXJ131131 EHF131131 ERB131131 FAX131131 FKT131131 FUP131131 GEL131131 GOH131131 GYD131131 HHZ131131 HRV131131 IBR131131 ILN131131 IVJ131131 JFF131131 JPB131131 JYX131131 KIT131131 KSP131131 LCL131131 LMH131131 LWD131131 MFZ131131 MPV131131 MZR131131 NJN131131 NTJ131131 ODF131131 ONB131131 OWX131131 PGT131131 PQP131131 QAL131131 QKH131131 QUD131131 RDZ131131 RNV131131 RXR131131 SHN131131 SRJ131131 TBF131131 TLB131131 TUX131131 UET131131 UOP131131 UYL131131 VIH131131 VSD131131 WBZ131131 WLV131131 WVR131131 J196666 JF196667 TB196667 ACX196667 AMT196667 AWP196667 BGL196667 BQH196667 CAD196667 CJZ196667 CTV196667 DDR196667 DNN196667 DXJ196667 EHF196667 ERB196667 FAX196667 FKT196667 FUP196667 GEL196667 GOH196667 GYD196667 HHZ196667 HRV196667 IBR196667 ILN196667 IVJ196667 JFF196667 JPB196667 JYX196667 KIT196667 KSP196667 LCL196667 LMH196667 LWD196667 MFZ196667 MPV196667 MZR196667 NJN196667 NTJ196667 ODF196667 ONB196667 OWX196667 PGT196667 PQP196667 QAL196667 QKH196667 QUD196667 RDZ196667 RNV196667 RXR196667 SHN196667 SRJ196667 TBF196667 TLB196667 TUX196667 UET196667 UOP196667 UYL196667 VIH196667 VSD196667 WBZ196667 WLV196667 WVR196667 J262202 JF262203 TB262203 ACX262203 AMT262203 AWP262203 BGL262203 BQH262203 CAD262203 CJZ262203 CTV262203 DDR262203 DNN262203 DXJ262203 EHF262203 ERB262203 FAX262203 FKT262203 FUP262203 GEL262203 GOH262203 GYD262203 HHZ262203 HRV262203 IBR262203 ILN262203 IVJ262203 JFF262203 JPB262203 JYX262203 KIT262203 KSP262203 LCL262203 LMH262203 LWD262203 MFZ262203 MPV262203 MZR262203 NJN262203 NTJ262203 ODF262203 ONB262203 OWX262203 PGT262203 PQP262203 QAL262203 QKH262203 QUD262203 RDZ262203 RNV262203 RXR262203 SHN262203 SRJ262203 TBF262203 TLB262203 TUX262203 UET262203 UOP262203 UYL262203 VIH262203 VSD262203 WBZ262203 WLV262203 WVR262203 J327738 JF327739 TB327739 ACX327739 AMT327739 AWP327739 BGL327739 BQH327739 CAD327739 CJZ327739 CTV327739 DDR327739 DNN327739 DXJ327739 EHF327739 ERB327739 FAX327739 FKT327739 FUP327739 GEL327739 GOH327739 GYD327739 HHZ327739 HRV327739 IBR327739 ILN327739 IVJ327739 JFF327739 JPB327739 JYX327739 KIT327739 KSP327739 LCL327739 LMH327739 LWD327739 MFZ327739 MPV327739 MZR327739 NJN327739 NTJ327739 ODF327739 ONB327739 OWX327739 PGT327739 PQP327739 QAL327739 QKH327739 QUD327739 RDZ327739 RNV327739 RXR327739 SHN327739 SRJ327739 TBF327739 TLB327739 TUX327739 UET327739 UOP327739 UYL327739 VIH327739 VSD327739 WBZ327739 WLV327739 WVR327739 J393274 JF393275 TB393275 ACX393275 AMT393275 AWP393275 BGL393275 BQH393275 CAD393275 CJZ393275 CTV393275 DDR393275 DNN393275 DXJ393275 EHF393275 ERB393275 FAX393275 FKT393275 FUP393275 GEL393275 GOH393275 GYD393275 HHZ393275 HRV393275 IBR393275 ILN393275 IVJ393275 JFF393275 JPB393275 JYX393275 KIT393275 KSP393275 LCL393275 LMH393275 LWD393275 MFZ393275 MPV393275 MZR393275 NJN393275 NTJ393275 ODF393275 ONB393275 OWX393275 PGT393275 PQP393275 QAL393275 QKH393275 QUD393275 RDZ393275 RNV393275 RXR393275 SHN393275 SRJ393275 TBF393275 TLB393275 TUX393275 UET393275 UOP393275 UYL393275 VIH393275 VSD393275 WBZ393275 WLV393275 WVR393275 J458810 JF458811 TB458811 ACX458811 AMT458811 AWP458811 BGL458811 BQH458811 CAD458811 CJZ458811 CTV458811 DDR458811 DNN458811 DXJ458811 EHF458811 ERB458811 FAX458811 FKT458811 FUP458811 GEL458811 GOH458811 GYD458811 HHZ458811 HRV458811 IBR458811 ILN458811 IVJ458811 JFF458811 JPB458811 JYX458811 KIT458811 KSP458811 LCL458811 LMH458811 LWD458811 MFZ458811 MPV458811 MZR458811 NJN458811 NTJ458811 ODF458811 ONB458811 OWX458811 PGT458811 PQP458811 QAL458811 QKH458811 QUD458811 RDZ458811 RNV458811 RXR458811 SHN458811 SRJ458811 TBF458811 TLB458811 TUX458811 UET458811 UOP458811 UYL458811 VIH458811 VSD458811 WBZ458811 WLV458811 WVR458811 J524346 JF524347 TB524347 ACX524347 AMT524347 AWP524347 BGL524347 BQH524347 CAD524347 CJZ524347 CTV524347 DDR524347 DNN524347 DXJ524347 EHF524347 ERB524347 FAX524347 FKT524347 FUP524347 GEL524347 GOH524347 GYD524347 HHZ524347 HRV524347 IBR524347 ILN524347 IVJ524347 JFF524347 JPB524347 JYX524347 KIT524347 KSP524347 LCL524347 LMH524347 LWD524347 MFZ524347 MPV524347 MZR524347 NJN524347 NTJ524347 ODF524347 ONB524347 OWX524347 PGT524347 PQP524347 QAL524347 QKH524347 QUD524347 RDZ524347 RNV524347 RXR524347 SHN524347 SRJ524347 TBF524347 TLB524347 TUX524347 UET524347 UOP524347 UYL524347 VIH524347 VSD524347 WBZ524347 WLV524347 WVR524347 J589882 JF589883 TB589883 ACX589883 AMT589883 AWP589883 BGL589883 BQH589883 CAD589883 CJZ589883 CTV589883 DDR589883 DNN589883 DXJ589883 EHF589883 ERB589883 FAX589883 FKT589883 FUP589883 GEL589883 GOH589883 GYD589883 HHZ589883 HRV589883 IBR589883 ILN589883 IVJ589883 JFF589883 JPB589883 JYX589883 KIT589883 KSP589883 LCL589883 LMH589883 LWD589883 MFZ589883 MPV589883 MZR589883 NJN589883 NTJ589883 ODF589883 ONB589883 OWX589883 PGT589883 PQP589883 QAL589883 QKH589883 QUD589883 RDZ589883 RNV589883 RXR589883 SHN589883 SRJ589883 TBF589883 TLB589883 TUX589883 UET589883 UOP589883 UYL589883 VIH589883 VSD589883 WBZ589883 WLV589883 WVR589883 J655418 JF655419 TB655419 ACX655419 AMT655419 AWP655419 BGL655419 BQH655419 CAD655419 CJZ655419 CTV655419 DDR655419 DNN655419 DXJ655419 EHF655419 ERB655419 FAX655419 FKT655419 FUP655419 GEL655419 GOH655419 GYD655419 HHZ655419 HRV655419 IBR655419 ILN655419 IVJ655419 JFF655419 JPB655419 JYX655419 KIT655419 KSP655419 LCL655419 LMH655419 LWD655419 MFZ655419 MPV655419 MZR655419 NJN655419 NTJ655419 ODF655419 ONB655419 OWX655419 PGT655419 PQP655419 QAL655419 QKH655419 QUD655419 RDZ655419 RNV655419 RXR655419 SHN655419 SRJ655419 TBF655419 TLB655419 TUX655419 UET655419 UOP655419 UYL655419 VIH655419 VSD655419 WBZ655419 WLV655419 WVR655419 J720954 JF720955 TB720955 ACX720955 AMT720955 AWP720955 BGL720955 BQH720955 CAD720955 CJZ720955 CTV720955 DDR720955 DNN720955 DXJ720955 EHF720955 ERB720955 FAX720955 FKT720955 FUP720955 GEL720955 GOH720955 GYD720955 HHZ720955 HRV720955 IBR720955 ILN720955 IVJ720955 JFF720955 JPB720955 JYX720955 KIT720955 KSP720955 LCL720955 LMH720955 LWD720955 MFZ720955 MPV720955 MZR720955 NJN720955 NTJ720955 ODF720955 ONB720955 OWX720955 PGT720955 PQP720955 QAL720955 QKH720955 QUD720955 RDZ720955 RNV720955 RXR720955 SHN720955 SRJ720955 TBF720955 TLB720955 TUX720955 UET720955 UOP720955 UYL720955 VIH720955 VSD720955 WBZ720955 WLV720955 WVR720955 J786490 JF786491 TB786491 ACX786491 AMT786491 AWP786491 BGL786491 BQH786491 CAD786491 CJZ786491 CTV786491 DDR786491 DNN786491 DXJ786491 EHF786491 ERB786491 FAX786491 FKT786491 FUP786491 GEL786491 GOH786491 GYD786491 HHZ786491 HRV786491 IBR786491 ILN786491 IVJ786491 JFF786491 JPB786491 JYX786491 KIT786491 KSP786491 LCL786491 LMH786491 LWD786491 MFZ786491 MPV786491 MZR786491 NJN786491 NTJ786491 ODF786491 ONB786491 OWX786491 PGT786491 PQP786491 QAL786491 QKH786491 QUD786491 RDZ786491 RNV786491 RXR786491 SHN786491 SRJ786491 TBF786491 TLB786491 TUX786491 UET786491 UOP786491 UYL786491 VIH786491 VSD786491 WBZ786491 WLV786491 WVR786491 J852026 JF852027 TB852027 ACX852027 AMT852027 AWP852027 BGL852027 BQH852027 CAD852027 CJZ852027 CTV852027 DDR852027 DNN852027 DXJ852027 EHF852027 ERB852027 FAX852027 FKT852027 FUP852027 GEL852027 GOH852027 GYD852027 HHZ852027 HRV852027 IBR852027 ILN852027 IVJ852027 JFF852027 JPB852027 JYX852027 KIT852027 KSP852027 LCL852027 LMH852027 LWD852027 MFZ852027 MPV852027 MZR852027 NJN852027 NTJ852027 ODF852027 ONB852027 OWX852027 PGT852027 PQP852027 QAL852027 QKH852027 QUD852027 RDZ852027 RNV852027 RXR852027 SHN852027 SRJ852027 TBF852027 TLB852027 TUX852027 UET852027 UOP852027 UYL852027 VIH852027 VSD852027 WBZ852027 WLV852027 WVR852027 J917562 JF917563 TB917563 ACX917563 AMT917563 AWP917563 BGL917563 BQH917563 CAD917563 CJZ917563 CTV917563 DDR917563 DNN917563 DXJ917563 EHF917563 ERB917563 FAX917563 FKT917563 FUP917563 GEL917563 GOH917563 GYD917563 HHZ917563 HRV917563 IBR917563 ILN917563 IVJ917563 JFF917563 JPB917563 JYX917563 KIT917563 KSP917563 LCL917563 LMH917563 LWD917563 MFZ917563 MPV917563 MZR917563 NJN917563 NTJ917563 ODF917563 ONB917563 OWX917563 PGT917563 PQP917563 QAL917563 QKH917563 QUD917563 RDZ917563 RNV917563 RXR917563 SHN917563 SRJ917563 TBF917563 TLB917563 TUX917563 UET917563 UOP917563 UYL917563 VIH917563 VSD917563 WBZ917563 WLV917563 WVR917563 J983098 JF983099 TB983099 ACX983099 AMT983099 AWP983099 BGL983099 BQH983099 CAD983099 CJZ983099 CTV983099 DDR983099 DNN983099 DXJ983099 EHF983099 ERB983099 FAX983099 FKT983099 FUP983099 GEL983099 GOH983099 GYD983099 HHZ983099 HRV983099 IBR983099 ILN983099 IVJ983099 JFF983099 JPB983099 JYX983099 KIT983099 KSP983099 LCL983099 LMH983099 LWD983099 MFZ983099 MPV983099 MZR983099 NJN983099 NTJ983099 ODF983099 ONB983099 OWX983099 PGT983099 PQP983099 QAL983099 QKH983099 QUD983099 RDZ983099 RNV983099 RXR983099 SHN983099 SRJ983099 TBF983099 TLB983099 TUX983099 UET983099 UOP983099 UYL983099 VIH983099 VSD983099 WBZ983099">
      <formula1>Visits</formula1>
    </dataValidation>
    <dataValidation type="list" allowBlank="1" showInputMessage="1" showErrorMessage="1" sqref="WVK983099:WVQ983099 IO16:IU16 SK16:SQ16 ACG16:ACM16 AMC16:AMI16 AVY16:AWE16 BFU16:BGA16 BPQ16:BPW16 BZM16:BZS16 CJI16:CJO16 CTE16:CTK16 DDA16:DDG16 DMW16:DNC16 DWS16:DWY16 EGO16:EGU16 EQK16:EQQ16 FAG16:FAM16 FKC16:FKI16 FTY16:FUE16 GDU16:GEA16 GNQ16:GNW16 GXM16:GXS16 HHI16:HHO16 HRE16:HRK16 IBA16:IBG16 IKW16:ILC16 IUS16:IUY16 JEO16:JEU16 JOK16:JOQ16 JYG16:JYM16 KIC16:KII16 KRY16:KSE16 LBU16:LCA16 LLQ16:LLW16 LVM16:LVS16 MFI16:MFO16 MPE16:MPK16 MZA16:MZG16 NIW16:NJC16 NSS16:NSY16 OCO16:OCU16 OMK16:OMQ16 OWG16:OWM16 PGC16:PGI16 PPY16:PQE16 PZU16:QAA16 QJQ16:QJW16 QTM16:QTS16 RDI16:RDO16 RNE16:RNK16 RXA16:RXG16 SGW16:SHC16 SQS16:SQY16 TAO16:TAU16 TKK16:TKQ16 TUG16:TUM16 UEC16:UEI16 UNY16:UOE16 UXU16:UYA16 VHQ16:VHW16 VRM16:VRS16 WBI16:WBO16 WLE16:WLK16 WVA16:WVG16 C65594:I65594 IY65595:JE65595 SU65595:TA65595 ACQ65595:ACW65595 AMM65595:AMS65595 AWI65595:AWO65595 BGE65595:BGK65595 BQA65595:BQG65595 BZW65595:CAC65595 CJS65595:CJY65595 CTO65595:CTU65595 DDK65595:DDQ65595 DNG65595:DNM65595 DXC65595:DXI65595 EGY65595:EHE65595 EQU65595:ERA65595 FAQ65595:FAW65595 FKM65595:FKS65595 FUI65595:FUO65595 GEE65595:GEK65595 GOA65595:GOG65595 GXW65595:GYC65595 HHS65595:HHY65595 HRO65595:HRU65595 IBK65595:IBQ65595 ILG65595:ILM65595 IVC65595:IVI65595 JEY65595:JFE65595 JOU65595:JPA65595 JYQ65595:JYW65595 KIM65595:KIS65595 KSI65595:KSO65595 LCE65595:LCK65595 LMA65595:LMG65595 LVW65595:LWC65595 MFS65595:MFY65595 MPO65595:MPU65595 MZK65595:MZQ65595 NJG65595:NJM65595 NTC65595:NTI65595 OCY65595:ODE65595 OMU65595:ONA65595 OWQ65595:OWW65595 PGM65595:PGS65595 PQI65595:PQO65595 QAE65595:QAK65595 QKA65595:QKG65595 QTW65595:QUC65595 RDS65595:RDY65595 RNO65595:RNU65595 RXK65595:RXQ65595 SHG65595:SHM65595 SRC65595:SRI65595 TAY65595:TBE65595 TKU65595:TLA65595 TUQ65595:TUW65595 UEM65595:UES65595 UOI65595:UOO65595 UYE65595:UYK65595 VIA65595:VIG65595 VRW65595:VSC65595 WBS65595:WBY65595 WLO65595:WLU65595 WVK65595:WVQ65595 C131130:I131130 IY131131:JE131131 SU131131:TA131131 ACQ131131:ACW131131 AMM131131:AMS131131 AWI131131:AWO131131 BGE131131:BGK131131 BQA131131:BQG131131 BZW131131:CAC131131 CJS131131:CJY131131 CTO131131:CTU131131 DDK131131:DDQ131131 DNG131131:DNM131131 DXC131131:DXI131131 EGY131131:EHE131131 EQU131131:ERA131131 FAQ131131:FAW131131 FKM131131:FKS131131 FUI131131:FUO131131 GEE131131:GEK131131 GOA131131:GOG131131 GXW131131:GYC131131 HHS131131:HHY131131 HRO131131:HRU131131 IBK131131:IBQ131131 ILG131131:ILM131131 IVC131131:IVI131131 JEY131131:JFE131131 JOU131131:JPA131131 JYQ131131:JYW131131 KIM131131:KIS131131 KSI131131:KSO131131 LCE131131:LCK131131 LMA131131:LMG131131 LVW131131:LWC131131 MFS131131:MFY131131 MPO131131:MPU131131 MZK131131:MZQ131131 NJG131131:NJM131131 NTC131131:NTI131131 OCY131131:ODE131131 OMU131131:ONA131131 OWQ131131:OWW131131 PGM131131:PGS131131 PQI131131:PQO131131 QAE131131:QAK131131 QKA131131:QKG131131 QTW131131:QUC131131 RDS131131:RDY131131 RNO131131:RNU131131 RXK131131:RXQ131131 SHG131131:SHM131131 SRC131131:SRI131131 TAY131131:TBE131131 TKU131131:TLA131131 TUQ131131:TUW131131 UEM131131:UES131131 UOI131131:UOO131131 UYE131131:UYK131131 VIA131131:VIG131131 VRW131131:VSC131131 WBS131131:WBY131131 WLO131131:WLU131131 WVK131131:WVQ131131 C196666:I196666 IY196667:JE196667 SU196667:TA196667 ACQ196667:ACW196667 AMM196667:AMS196667 AWI196667:AWO196667 BGE196667:BGK196667 BQA196667:BQG196667 BZW196667:CAC196667 CJS196667:CJY196667 CTO196667:CTU196667 DDK196667:DDQ196667 DNG196667:DNM196667 DXC196667:DXI196667 EGY196667:EHE196667 EQU196667:ERA196667 FAQ196667:FAW196667 FKM196667:FKS196667 FUI196667:FUO196667 GEE196667:GEK196667 GOA196667:GOG196667 GXW196667:GYC196667 HHS196667:HHY196667 HRO196667:HRU196667 IBK196667:IBQ196667 ILG196667:ILM196667 IVC196667:IVI196667 JEY196667:JFE196667 JOU196667:JPA196667 JYQ196667:JYW196667 KIM196667:KIS196667 KSI196667:KSO196667 LCE196667:LCK196667 LMA196667:LMG196667 LVW196667:LWC196667 MFS196667:MFY196667 MPO196667:MPU196667 MZK196667:MZQ196667 NJG196667:NJM196667 NTC196667:NTI196667 OCY196667:ODE196667 OMU196667:ONA196667 OWQ196667:OWW196667 PGM196667:PGS196667 PQI196667:PQO196667 QAE196667:QAK196667 QKA196667:QKG196667 QTW196667:QUC196667 RDS196667:RDY196667 RNO196667:RNU196667 RXK196667:RXQ196667 SHG196667:SHM196667 SRC196667:SRI196667 TAY196667:TBE196667 TKU196667:TLA196667 TUQ196667:TUW196667 UEM196667:UES196667 UOI196667:UOO196667 UYE196667:UYK196667 VIA196667:VIG196667 VRW196667:VSC196667 WBS196667:WBY196667 WLO196667:WLU196667 WVK196667:WVQ196667 C262202:I262202 IY262203:JE262203 SU262203:TA262203 ACQ262203:ACW262203 AMM262203:AMS262203 AWI262203:AWO262203 BGE262203:BGK262203 BQA262203:BQG262203 BZW262203:CAC262203 CJS262203:CJY262203 CTO262203:CTU262203 DDK262203:DDQ262203 DNG262203:DNM262203 DXC262203:DXI262203 EGY262203:EHE262203 EQU262203:ERA262203 FAQ262203:FAW262203 FKM262203:FKS262203 FUI262203:FUO262203 GEE262203:GEK262203 GOA262203:GOG262203 GXW262203:GYC262203 HHS262203:HHY262203 HRO262203:HRU262203 IBK262203:IBQ262203 ILG262203:ILM262203 IVC262203:IVI262203 JEY262203:JFE262203 JOU262203:JPA262203 JYQ262203:JYW262203 KIM262203:KIS262203 KSI262203:KSO262203 LCE262203:LCK262203 LMA262203:LMG262203 LVW262203:LWC262203 MFS262203:MFY262203 MPO262203:MPU262203 MZK262203:MZQ262203 NJG262203:NJM262203 NTC262203:NTI262203 OCY262203:ODE262203 OMU262203:ONA262203 OWQ262203:OWW262203 PGM262203:PGS262203 PQI262203:PQO262203 QAE262203:QAK262203 QKA262203:QKG262203 QTW262203:QUC262203 RDS262203:RDY262203 RNO262203:RNU262203 RXK262203:RXQ262203 SHG262203:SHM262203 SRC262203:SRI262203 TAY262203:TBE262203 TKU262203:TLA262203 TUQ262203:TUW262203 UEM262203:UES262203 UOI262203:UOO262203 UYE262203:UYK262203 VIA262203:VIG262203 VRW262203:VSC262203 WBS262203:WBY262203 WLO262203:WLU262203 WVK262203:WVQ262203 C327738:I327738 IY327739:JE327739 SU327739:TA327739 ACQ327739:ACW327739 AMM327739:AMS327739 AWI327739:AWO327739 BGE327739:BGK327739 BQA327739:BQG327739 BZW327739:CAC327739 CJS327739:CJY327739 CTO327739:CTU327739 DDK327739:DDQ327739 DNG327739:DNM327739 DXC327739:DXI327739 EGY327739:EHE327739 EQU327739:ERA327739 FAQ327739:FAW327739 FKM327739:FKS327739 FUI327739:FUO327739 GEE327739:GEK327739 GOA327739:GOG327739 GXW327739:GYC327739 HHS327739:HHY327739 HRO327739:HRU327739 IBK327739:IBQ327739 ILG327739:ILM327739 IVC327739:IVI327739 JEY327739:JFE327739 JOU327739:JPA327739 JYQ327739:JYW327739 KIM327739:KIS327739 KSI327739:KSO327739 LCE327739:LCK327739 LMA327739:LMG327739 LVW327739:LWC327739 MFS327739:MFY327739 MPO327739:MPU327739 MZK327739:MZQ327739 NJG327739:NJM327739 NTC327739:NTI327739 OCY327739:ODE327739 OMU327739:ONA327739 OWQ327739:OWW327739 PGM327739:PGS327739 PQI327739:PQO327739 QAE327739:QAK327739 QKA327739:QKG327739 QTW327739:QUC327739 RDS327739:RDY327739 RNO327739:RNU327739 RXK327739:RXQ327739 SHG327739:SHM327739 SRC327739:SRI327739 TAY327739:TBE327739 TKU327739:TLA327739 TUQ327739:TUW327739 UEM327739:UES327739 UOI327739:UOO327739 UYE327739:UYK327739 VIA327739:VIG327739 VRW327739:VSC327739 WBS327739:WBY327739 WLO327739:WLU327739 WVK327739:WVQ327739 C393274:I393274 IY393275:JE393275 SU393275:TA393275 ACQ393275:ACW393275 AMM393275:AMS393275 AWI393275:AWO393275 BGE393275:BGK393275 BQA393275:BQG393275 BZW393275:CAC393275 CJS393275:CJY393275 CTO393275:CTU393275 DDK393275:DDQ393275 DNG393275:DNM393275 DXC393275:DXI393275 EGY393275:EHE393275 EQU393275:ERA393275 FAQ393275:FAW393275 FKM393275:FKS393275 FUI393275:FUO393275 GEE393275:GEK393275 GOA393275:GOG393275 GXW393275:GYC393275 HHS393275:HHY393275 HRO393275:HRU393275 IBK393275:IBQ393275 ILG393275:ILM393275 IVC393275:IVI393275 JEY393275:JFE393275 JOU393275:JPA393275 JYQ393275:JYW393275 KIM393275:KIS393275 KSI393275:KSO393275 LCE393275:LCK393275 LMA393275:LMG393275 LVW393275:LWC393275 MFS393275:MFY393275 MPO393275:MPU393275 MZK393275:MZQ393275 NJG393275:NJM393275 NTC393275:NTI393275 OCY393275:ODE393275 OMU393275:ONA393275 OWQ393275:OWW393275 PGM393275:PGS393275 PQI393275:PQO393275 QAE393275:QAK393275 QKA393275:QKG393275 QTW393275:QUC393275 RDS393275:RDY393275 RNO393275:RNU393275 RXK393275:RXQ393275 SHG393275:SHM393275 SRC393275:SRI393275 TAY393275:TBE393275 TKU393275:TLA393275 TUQ393275:TUW393275 UEM393275:UES393275 UOI393275:UOO393275 UYE393275:UYK393275 VIA393275:VIG393275 VRW393275:VSC393275 WBS393275:WBY393275 WLO393275:WLU393275 WVK393275:WVQ393275 C458810:I458810 IY458811:JE458811 SU458811:TA458811 ACQ458811:ACW458811 AMM458811:AMS458811 AWI458811:AWO458811 BGE458811:BGK458811 BQA458811:BQG458811 BZW458811:CAC458811 CJS458811:CJY458811 CTO458811:CTU458811 DDK458811:DDQ458811 DNG458811:DNM458811 DXC458811:DXI458811 EGY458811:EHE458811 EQU458811:ERA458811 FAQ458811:FAW458811 FKM458811:FKS458811 FUI458811:FUO458811 GEE458811:GEK458811 GOA458811:GOG458811 GXW458811:GYC458811 HHS458811:HHY458811 HRO458811:HRU458811 IBK458811:IBQ458811 ILG458811:ILM458811 IVC458811:IVI458811 JEY458811:JFE458811 JOU458811:JPA458811 JYQ458811:JYW458811 KIM458811:KIS458811 KSI458811:KSO458811 LCE458811:LCK458811 LMA458811:LMG458811 LVW458811:LWC458811 MFS458811:MFY458811 MPO458811:MPU458811 MZK458811:MZQ458811 NJG458811:NJM458811 NTC458811:NTI458811 OCY458811:ODE458811 OMU458811:ONA458811 OWQ458811:OWW458811 PGM458811:PGS458811 PQI458811:PQO458811 QAE458811:QAK458811 QKA458811:QKG458811 QTW458811:QUC458811 RDS458811:RDY458811 RNO458811:RNU458811 RXK458811:RXQ458811 SHG458811:SHM458811 SRC458811:SRI458811 TAY458811:TBE458811 TKU458811:TLA458811 TUQ458811:TUW458811 UEM458811:UES458811 UOI458811:UOO458811 UYE458811:UYK458811 VIA458811:VIG458811 VRW458811:VSC458811 WBS458811:WBY458811 WLO458811:WLU458811 WVK458811:WVQ458811 C524346:I524346 IY524347:JE524347 SU524347:TA524347 ACQ524347:ACW524347 AMM524347:AMS524347 AWI524347:AWO524347 BGE524347:BGK524347 BQA524347:BQG524347 BZW524347:CAC524347 CJS524347:CJY524347 CTO524347:CTU524347 DDK524347:DDQ524347 DNG524347:DNM524347 DXC524347:DXI524347 EGY524347:EHE524347 EQU524347:ERA524347 FAQ524347:FAW524347 FKM524347:FKS524347 FUI524347:FUO524347 GEE524347:GEK524347 GOA524347:GOG524347 GXW524347:GYC524347 HHS524347:HHY524347 HRO524347:HRU524347 IBK524347:IBQ524347 ILG524347:ILM524347 IVC524347:IVI524347 JEY524347:JFE524347 JOU524347:JPA524347 JYQ524347:JYW524347 KIM524347:KIS524347 KSI524347:KSO524347 LCE524347:LCK524347 LMA524347:LMG524347 LVW524347:LWC524347 MFS524347:MFY524347 MPO524347:MPU524347 MZK524347:MZQ524347 NJG524347:NJM524347 NTC524347:NTI524347 OCY524347:ODE524347 OMU524347:ONA524347 OWQ524347:OWW524347 PGM524347:PGS524347 PQI524347:PQO524347 QAE524347:QAK524347 QKA524347:QKG524347 QTW524347:QUC524347 RDS524347:RDY524347 RNO524347:RNU524347 RXK524347:RXQ524347 SHG524347:SHM524347 SRC524347:SRI524347 TAY524347:TBE524347 TKU524347:TLA524347 TUQ524347:TUW524347 UEM524347:UES524347 UOI524347:UOO524347 UYE524347:UYK524347 VIA524347:VIG524347 VRW524347:VSC524347 WBS524347:WBY524347 WLO524347:WLU524347 WVK524347:WVQ524347 C589882:I589882 IY589883:JE589883 SU589883:TA589883 ACQ589883:ACW589883 AMM589883:AMS589883 AWI589883:AWO589883 BGE589883:BGK589883 BQA589883:BQG589883 BZW589883:CAC589883 CJS589883:CJY589883 CTO589883:CTU589883 DDK589883:DDQ589883 DNG589883:DNM589883 DXC589883:DXI589883 EGY589883:EHE589883 EQU589883:ERA589883 FAQ589883:FAW589883 FKM589883:FKS589883 FUI589883:FUO589883 GEE589883:GEK589883 GOA589883:GOG589883 GXW589883:GYC589883 HHS589883:HHY589883 HRO589883:HRU589883 IBK589883:IBQ589883 ILG589883:ILM589883 IVC589883:IVI589883 JEY589883:JFE589883 JOU589883:JPA589883 JYQ589883:JYW589883 KIM589883:KIS589883 KSI589883:KSO589883 LCE589883:LCK589883 LMA589883:LMG589883 LVW589883:LWC589883 MFS589883:MFY589883 MPO589883:MPU589883 MZK589883:MZQ589883 NJG589883:NJM589883 NTC589883:NTI589883 OCY589883:ODE589883 OMU589883:ONA589883 OWQ589883:OWW589883 PGM589883:PGS589883 PQI589883:PQO589883 QAE589883:QAK589883 QKA589883:QKG589883 QTW589883:QUC589883 RDS589883:RDY589883 RNO589883:RNU589883 RXK589883:RXQ589883 SHG589883:SHM589883 SRC589883:SRI589883 TAY589883:TBE589883 TKU589883:TLA589883 TUQ589883:TUW589883 UEM589883:UES589883 UOI589883:UOO589883 UYE589883:UYK589883 VIA589883:VIG589883 VRW589883:VSC589883 WBS589883:WBY589883 WLO589883:WLU589883 WVK589883:WVQ589883 C655418:I655418 IY655419:JE655419 SU655419:TA655419 ACQ655419:ACW655419 AMM655419:AMS655419 AWI655419:AWO655419 BGE655419:BGK655419 BQA655419:BQG655419 BZW655419:CAC655419 CJS655419:CJY655419 CTO655419:CTU655419 DDK655419:DDQ655419 DNG655419:DNM655419 DXC655419:DXI655419 EGY655419:EHE655419 EQU655419:ERA655419 FAQ655419:FAW655419 FKM655419:FKS655419 FUI655419:FUO655419 GEE655419:GEK655419 GOA655419:GOG655419 GXW655419:GYC655419 HHS655419:HHY655419 HRO655419:HRU655419 IBK655419:IBQ655419 ILG655419:ILM655419 IVC655419:IVI655419 JEY655419:JFE655419 JOU655419:JPA655419 JYQ655419:JYW655419 KIM655419:KIS655419 KSI655419:KSO655419 LCE655419:LCK655419 LMA655419:LMG655419 LVW655419:LWC655419 MFS655419:MFY655419 MPO655419:MPU655419 MZK655419:MZQ655419 NJG655419:NJM655419 NTC655419:NTI655419 OCY655419:ODE655419 OMU655419:ONA655419 OWQ655419:OWW655419 PGM655419:PGS655419 PQI655419:PQO655419 QAE655419:QAK655419 QKA655419:QKG655419 QTW655419:QUC655419 RDS655419:RDY655419 RNO655419:RNU655419 RXK655419:RXQ655419 SHG655419:SHM655419 SRC655419:SRI655419 TAY655419:TBE655419 TKU655419:TLA655419 TUQ655419:TUW655419 UEM655419:UES655419 UOI655419:UOO655419 UYE655419:UYK655419 VIA655419:VIG655419 VRW655419:VSC655419 WBS655419:WBY655419 WLO655419:WLU655419 WVK655419:WVQ655419 C720954:I720954 IY720955:JE720955 SU720955:TA720955 ACQ720955:ACW720955 AMM720955:AMS720955 AWI720955:AWO720955 BGE720955:BGK720955 BQA720955:BQG720955 BZW720955:CAC720955 CJS720955:CJY720955 CTO720955:CTU720955 DDK720955:DDQ720955 DNG720955:DNM720955 DXC720955:DXI720955 EGY720955:EHE720955 EQU720955:ERA720955 FAQ720955:FAW720955 FKM720955:FKS720955 FUI720955:FUO720955 GEE720955:GEK720955 GOA720955:GOG720955 GXW720955:GYC720955 HHS720955:HHY720955 HRO720955:HRU720955 IBK720955:IBQ720955 ILG720955:ILM720955 IVC720955:IVI720955 JEY720955:JFE720955 JOU720955:JPA720955 JYQ720955:JYW720955 KIM720955:KIS720955 KSI720955:KSO720955 LCE720955:LCK720955 LMA720955:LMG720955 LVW720955:LWC720955 MFS720955:MFY720955 MPO720955:MPU720955 MZK720955:MZQ720955 NJG720955:NJM720955 NTC720955:NTI720955 OCY720955:ODE720955 OMU720955:ONA720955 OWQ720955:OWW720955 PGM720955:PGS720955 PQI720955:PQO720955 QAE720955:QAK720955 QKA720955:QKG720955 QTW720955:QUC720955 RDS720955:RDY720955 RNO720955:RNU720955 RXK720955:RXQ720955 SHG720955:SHM720955 SRC720955:SRI720955 TAY720955:TBE720955 TKU720955:TLA720955 TUQ720955:TUW720955 UEM720955:UES720955 UOI720955:UOO720955 UYE720955:UYK720955 VIA720955:VIG720955 VRW720955:VSC720955 WBS720955:WBY720955 WLO720955:WLU720955 WVK720955:WVQ720955 C786490:I786490 IY786491:JE786491 SU786491:TA786491 ACQ786491:ACW786491 AMM786491:AMS786491 AWI786491:AWO786491 BGE786491:BGK786491 BQA786491:BQG786491 BZW786491:CAC786491 CJS786491:CJY786491 CTO786491:CTU786491 DDK786491:DDQ786491 DNG786491:DNM786491 DXC786491:DXI786491 EGY786491:EHE786491 EQU786491:ERA786491 FAQ786491:FAW786491 FKM786491:FKS786491 FUI786491:FUO786491 GEE786491:GEK786491 GOA786491:GOG786491 GXW786491:GYC786491 HHS786491:HHY786491 HRO786491:HRU786491 IBK786491:IBQ786491 ILG786491:ILM786491 IVC786491:IVI786491 JEY786491:JFE786491 JOU786491:JPA786491 JYQ786491:JYW786491 KIM786491:KIS786491 KSI786491:KSO786491 LCE786491:LCK786491 LMA786491:LMG786491 LVW786491:LWC786491 MFS786491:MFY786491 MPO786491:MPU786491 MZK786491:MZQ786491 NJG786491:NJM786491 NTC786491:NTI786491 OCY786491:ODE786491 OMU786491:ONA786491 OWQ786491:OWW786491 PGM786491:PGS786491 PQI786491:PQO786491 QAE786491:QAK786491 QKA786491:QKG786491 QTW786491:QUC786491 RDS786491:RDY786491 RNO786491:RNU786491 RXK786491:RXQ786491 SHG786491:SHM786491 SRC786491:SRI786491 TAY786491:TBE786491 TKU786491:TLA786491 TUQ786491:TUW786491 UEM786491:UES786491 UOI786491:UOO786491 UYE786491:UYK786491 VIA786491:VIG786491 VRW786491:VSC786491 WBS786491:WBY786491 WLO786491:WLU786491 WVK786491:WVQ786491 C852026:I852026 IY852027:JE852027 SU852027:TA852027 ACQ852027:ACW852027 AMM852027:AMS852027 AWI852027:AWO852027 BGE852027:BGK852027 BQA852027:BQG852027 BZW852027:CAC852027 CJS852027:CJY852027 CTO852027:CTU852027 DDK852027:DDQ852027 DNG852027:DNM852027 DXC852027:DXI852027 EGY852027:EHE852027 EQU852027:ERA852027 FAQ852027:FAW852027 FKM852027:FKS852027 FUI852027:FUO852027 GEE852027:GEK852027 GOA852027:GOG852027 GXW852027:GYC852027 HHS852027:HHY852027 HRO852027:HRU852027 IBK852027:IBQ852027 ILG852027:ILM852027 IVC852027:IVI852027 JEY852027:JFE852027 JOU852027:JPA852027 JYQ852027:JYW852027 KIM852027:KIS852027 KSI852027:KSO852027 LCE852027:LCK852027 LMA852027:LMG852027 LVW852027:LWC852027 MFS852027:MFY852027 MPO852027:MPU852027 MZK852027:MZQ852027 NJG852027:NJM852027 NTC852027:NTI852027 OCY852027:ODE852027 OMU852027:ONA852027 OWQ852027:OWW852027 PGM852027:PGS852027 PQI852027:PQO852027 QAE852027:QAK852027 QKA852027:QKG852027 QTW852027:QUC852027 RDS852027:RDY852027 RNO852027:RNU852027 RXK852027:RXQ852027 SHG852027:SHM852027 SRC852027:SRI852027 TAY852027:TBE852027 TKU852027:TLA852027 TUQ852027:TUW852027 UEM852027:UES852027 UOI852027:UOO852027 UYE852027:UYK852027 VIA852027:VIG852027 VRW852027:VSC852027 WBS852027:WBY852027 WLO852027:WLU852027 WVK852027:WVQ852027 C917562:I917562 IY917563:JE917563 SU917563:TA917563 ACQ917563:ACW917563 AMM917563:AMS917563 AWI917563:AWO917563 BGE917563:BGK917563 BQA917563:BQG917563 BZW917563:CAC917563 CJS917563:CJY917563 CTO917563:CTU917563 DDK917563:DDQ917563 DNG917563:DNM917563 DXC917563:DXI917563 EGY917563:EHE917563 EQU917563:ERA917563 FAQ917563:FAW917563 FKM917563:FKS917563 FUI917563:FUO917563 GEE917563:GEK917563 GOA917563:GOG917563 GXW917563:GYC917563 HHS917563:HHY917563 HRO917563:HRU917563 IBK917563:IBQ917563 ILG917563:ILM917563 IVC917563:IVI917563 JEY917563:JFE917563 JOU917563:JPA917563 JYQ917563:JYW917563 KIM917563:KIS917563 KSI917563:KSO917563 LCE917563:LCK917563 LMA917563:LMG917563 LVW917563:LWC917563 MFS917563:MFY917563 MPO917563:MPU917563 MZK917563:MZQ917563 NJG917563:NJM917563 NTC917563:NTI917563 OCY917563:ODE917563 OMU917563:ONA917563 OWQ917563:OWW917563 PGM917563:PGS917563 PQI917563:PQO917563 QAE917563:QAK917563 QKA917563:QKG917563 QTW917563:QUC917563 RDS917563:RDY917563 RNO917563:RNU917563 RXK917563:RXQ917563 SHG917563:SHM917563 SRC917563:SRI917563 TAY917563:TBE917563 TKU917563:TLA917563 TUQ917563:TUW917563 UEM917563:UES917563 UOI917563:UOO917563 UYE917563:UYK917563 VIA917563:VIG917563 VRW917563:VSC917563 WBS917563:WBY917563 WLO917563:WLU917563 WVK917563:WVQ917563 C983098:I983098 IY983099:JE983099 SU983099:TA983099 ACQ983099:ACW983099 AMM983099:AMS983099 AWI983099:AWO983099 BGE983099:BGK983099 BQA983099:BQG983099 BZW983099:CAC983099 CJS983099:CJY983099 CTO983099:CTU983099 DDK983099:DDQ983099 DNG983099:DNM983099 DXC983099:DXI983099 EGY983099:EHE983099 EQU983099:ERA983099 FAQ983099:FAW983099 FKM983099:FKS983099 FUI983099:FUO983099 GEE983099:GEK983099 GOA983099:GOG983099 GXW983099:GYC983099 HHS983099:HHY983099 HRO983099:HRU983099 IBK983099:IBQ983099 ILG983099:ILM983099 IVC983099:IVI983099 JEY983099:JFE983099 JOU983099:JPA983099 JYQ983099:JYW983099 KIM983099:KIS983099 KSI983099:KSO983099 LCE983099:LCK983099 LMA983099:LMG983099 LVW983099:LWC983099 MFS983099:MFY983099 MPO983099:MPU983099 MZK983099:MZQ983099 NJG983099:NJM983099 NTC983099:NTI983099 OCY983099:ODE983099 OMU983099:ONA983099 OWQ983099:OWW983099 PGM983099:PGS983099 PQI983099:PQO983099 QAE983099:QAK983099 QKA983099:QKG983099 QTW983099:QUC983099 RDS983099:RDY983099 RNO983099:RNU983099 RXK983099:RXQ983099 SHG983099:SHM983099 SRC983099:SRI983099 TAY983099:TBE983099 TKU983099:TLA983099 TUQ983099:TUW983099 UEM983099:UES983099 UOI983099:UOO983099 UYE983099:UYK983099 VIA983099:VIG983099 VRW983099:VSC983099 WBS983099:WBY983099 WLO983099:WLU983099">
      <formula1>Visit_types</formula1>
    </dataValidation>
    <dataValidation type="list" allowBlank="1" showInputMessage="1" showErrorMessage="1" sqref="B142">
      <formula1>$B$72:$B$166</formula1>
    </dataValidation>
    <dataValidation showInputMessage="1" sqref="B99 B10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'Unit costs'!$B$25:$B$66</xm:f>
          </x14:formula1>
          <xm:sqref>B17:B31</xm:sqref>
        </x14:dataValidation>
        <x14:dataValidation type="list" allowBlank="1" showInputMessage="1" showErrorMessage="1">
          <x14:formula1>
            <xm:f>'Unit costs'!$B$178:$B$206</xm:f>
          </x14:formula1>
          <xm:sqref>B55:B69</xm:sqref>
        </x14:dataValidation>
        <x14:dataValidation type="list" allowBlank="1" showInputMessage="1" showErrorMessage="1">
          <x14:formula1>
            <xm:f>'Drop Down Master List'!$G$3:$G$87</xm:f>
          </x14:formula1>
          <xm:sqref>B137:B141</xm:sqref>
        </x14:dataValidation>
        <x14:dataValidation type="list" allowBlank="1" showInputMessage="1" showErrorMessage="1">
          <x14:formula1>
            <xm:f>'Unit costs'!$B$86:$B$173</xm:f>
          </x14:formula1>
          <xm:sqref>B166</xm:sqref>
        </x14:dataValidation>
        <x14:dataValidation type="list" showInputMessage="1">
          <x14:formula1>
            <xm:f>'Drop Down Master List'!$G$3:$G$87</xm:f>
          </x14:formula1>
          <xm:sqref>B120:B136</xm:sqref>
        </x14:dataValidation>
        <x14:dataValidation type="list" showInputMessage="1">
          <x14:formula1>
            <xm:f>'Unit costs'!$B$72:$B$83</xm:f>
          </x14:formula1>
          <xm:sqref>B94:B98 B100:B104 B106:B110 B112:B116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W91"/>
  <sheetViews>
    <sheetView showGridLines="0" workbookViewId="0">
      <selection activeCell="E12" sqref="E12"/>
    </sheetView>
  </sheetViews>
  <sheetFormatPr defaultRowHeight="15" x14ac:dyDescent="0.25"/>
  <cols>
    <col min="1" max="1" width="4.7109375" style="113" customWidth="1"/>
    <col min="2" max="2" width="48.42578125" style="120" customWidth="1"/>
    <col min="3" max="12" width="15.7109375" style="120" customWidth="1"/>
    <col min="13" max="13" width="9.85546875" style="120" customWidth="1"/>
    <col min="14" max="15" width="10.28515625" style="120" customWidth="1"/>
    <col min="16" max="16" width="9.42578125" style="120" customWidth="1"/>
    <col min="17" max="256" width="8.85546875" style="120"/>
    <col min="257" max="257" width="4.7109375" style="120" customWidth="1"/>
    <col min="258" max="258" width="26.42578125" style="120" customWidth="1"/>
    <col min="259" max="259" width="12.7109375" style="120" customWidth="1"/>
    <col min="260" max="265" width="10.7109375" style="120" customWidth="1"/>
    <col min="266" max="266" width="10.28515625" style="120" customWidth="1"/>
    <col min="267" max="267" width="11.140625" style="120" customWidth="1"/>
    <col min="268" max="268" width="10.7109375" style="120" customWidth="1"/>
    <col min="269" max="269" width="9.85546875" style="120" customWidth="1"/>
    <col min="270" max="271" width="10.28515625" style="120" customWidth="1"/>
    <col min="272" max="272" width="9.42578125" style="120" customWidth="1"/>
    <col min="273" max="512" width="8.85546875" style="120"/>
    <col min="513" max="513" width="4.7109375" style="120" customWidth="1"/>
    <col min="514" max="514" width="26.42578125" style="120" customWidth="1"/>
    <col min="515" max="515" width="12.7109375" style="120" customWidth="1"/>
    <col min="516" max="521" width="10.7109375" style="120" customWidth="1"/>
    <col min="522" max="522" width="10.28515625" style="120" customWidth="1"/>
    <col min="523" max="523" width="11.140625" style="120" customWidth="1"/>
    <col min="524" max="524" width="10.7109375" style="120" customWidth="1"/>
    <col min="525" max="525" width="9.85546875" style="120" customWidth="1"/>
    <col min="526" max="527" width="10.28515625" style="120" customWidth="1"/>
    <col min="528" max="528" width="9.42578125" style="120" customWidth="1"/>
    <col min="529" max="768" width="8.85546875" style="120"/>
    <col min="769" max="769" width="4.7109375" style="120" customWidth="1"/>
    <col min="770" max="770" width="26.42578125" style="120" customWidth="1"/>
    <col min="771" max="771" width="12.7109375" style="120" customWidth="1"/>
    <col min="772" max="777" width="10.7109375" style="120" customWidth="1"/>
    <col min="778" max="778" width="10.28515625" style="120" customWidth="1"/>
    <col min="779" max="779" width="11.140625" style="120" customWidth="1"/>
    <col min="780" max="780" width="10.7109375" style="120" customWidth="1"/>
    <col min="781" max="781" width="9.85546875" style="120" customWidth="1"/>
    <col min="782" max="783" width="10.28515625" style="120" customWidth="1"/>
    <col min="784" max="784" width="9.42578125" style="120" customWidth="1"/>
    <col min="785" max="1024" width="8.85546875" style="120"/>
    <col min="1025" max="1025" width="4.7109375" style="120" customWidth="1"/>
    <col min="1026" max="1026" width="26.42578125" style="120" customWidth="1"/>
    <col min="1027" max="1027" width="12.7109375" style="120" customWidth="1"/>
    <col min="1028" max="1033" width="10.7109375" style="120" customWidth="1"/>
    <col min="1034" max="1034" width="10.28515625" style="120" customWidth="1"/>
    <col min="1035" max="1035" width="11.140625" style="120" customWidth="1"/>
    <col min="1036" max="1036" width="10.7109375" style="120" customWidth="1"/>
    <col min="1037" max="1037" width="9.85546875" style="120" customWidth="1"/>
    <col min="1038" max="1039" width="10.28515625" style="120" customWidth="1"/>
    <col min="1040" max="1040" width="9.42578125" style="120" customWidth="1"/>
    <col min="1041" max="1280" width="8.85546875" style="120"/>
    <col min="1281" max="1281" width="4.7109375" style="120" customWidth="1"/>
    <col min="1282" max="1282" width="26.42578125" style="120" customWidth="1"/>
    <col min="1283" max="1283" width="12.7109375" style="120" customWidth="1"/>
    <col min="1284" max="1289" width="10.7109375" style="120" customWidth="1"/>
    <col min="1290" max="1290" width="10.28515625" style="120" customWidth="1"/>
    <col min="1291" max="1291" width="11.140625" style="120" customWidth="1"/>
    <col min="1292" max="1292" width="10.7109375" style="120" customWidth="1"/>
    <col min="1293" max="1293" width="9.85546875" style="120" customWidth="1"/>
    <col min="1294" max="1295" width="10.28515625" style="120" customWidth="1"/>
    <col min="1296" max="1296" width="9.42578125" style="120" customWidth="1"/>
    <col min="1297" max="1536" width="8.85546875" style="120"/>
    <col min="1537" max="1537" width="4.7109375" style="120" customWidth="1"/>
    <col min="1538" max="1538" width="26.42578125" style="120" customWidth="1"/>
    <col min="1539" max="1539" width="12.7109375" style="120" customWidth="1"/>
    <col min="1540" max="1545" width="10.7109375" style="120" customWidth="1"/>
    <col min="1546" max="1546" width="10.28515625" style="120" customWidth="1"/>
    <col min="1547" max="1547" width="11.140625" style="120" customWidth="1"/>
    <col min="1548" max="1548" width="10.7109375" style="120" customWidth="1"/>
    <col min="1549" max="1549" width="9.85546875" style="120" customWidth="1"/>
    <col min="1550" max="1551" width="10.28515625" style="120" customWidth="1"/>
    <col min="1552" max="1552" width="9.42578125" style="120" customWidth="1"/>
    <col min="1553" max="1792" width="8.85546875" style="120"/>
    <col min="1793" max="1793" width="4.7109375" style="120" customWidth="1"/>
    <col min="1794" max="1794" width="26.42578125" style="120" customWidth="1"/>
    <col min="1795" max="1795" width="12.7109375" style="120" customWidth="1"/>
    <col min="1796" max="1801" width="10.7109375" style="120" customWidth="1"/>
    <col min="1802" max="1802" width="10.28515625" style="120" customWidth="1"/>
    <col min="1803" max="1803" width="11.140625" style="120" customWidth="1"/>
    <col min="1804" max="1804" width="10.7109375" style="120" customWidth="1"/>
    <col min="1805" max="1805" width="9.85546875" style="120" customWidth="1"/>
    <col min="1806" max="1807" width="10.28515625" style="120" customWidth="1"/>
    <col min="1808" max="1808" width="9.42578125" style="120" customWidth="1"/>
    <col min="1809" max="2048" width="8.85546875" style="120"/>
    <col min="2049" max="2049" width="4.7109375" style="120" customWidth="1"/>
    <col min="2050" max="2050" width="26.42578125" style="120" customWidth="1"/>
    <col min="2051" max="2051" width="12.7109375" style="120" customWidth="1"/>
    <col min="2052" max="2057" width="10.7109375" style="120" customWidth="1"/>
    <col min="2058" max="2058" width="10.28515625" style="120" customWidth="1"/>
    <col min="2059" max="2059" width="11.140625" style="120" customWidth="1"/>
    <col min="2060" max="2060" width="10.7109375" style="120" customWidth="1"/>
    <col min="2061" max="2061" width="9.85546875" style="120" customWidth="1"/>
    <col min="2062" max="2063" width="10.28515625" style="120" customWidth="1"/>
    <col min="2064" max="2064" width="9.42578125" style="120" customWidth="1"/>
    <col min="2065" max="2304" width="8.85546875" style="120"/>
    <col min="2305" max="2305" width="4.7109375" style="120" customWidth="1"/>
    <col min="2306" max="2306" width="26.42578125" style="120" customWidth="1"/>
    <col min="2307" max="2307" width="12.7109375" style="120" customWidth="1"/>
    <col min="2308" max="2313" width="10.7109375" style="120" customWidth="1"/>
    <col min="2314" max="2314" width="10.28515625" style="120" customWidth="1"/>
    <col min="2315" max="2315" width="11.140625" style="120" customWidth="1"/>
    <col min="2316" max="2316" width="10.7109375" style="120" customWidth="1"/>
    <col min="2317" max="2317" width="9.85546875" style="120" customWidth="1"/>
    <col min="2318" max="2319" width="10.28515625" style="120" customWidth="1"/>
    <col min="2320" max="2320" width="9.42578125" style="120" customWidth="1"/>
    <col min="2321" max="2560" width="8.85546875" style="120"/>
    <col min="2561" max="2561" width="4.7109375" style="120" customWidth="1"/>
    <col min="2562" max="2562" width="26.42578125" style="120" customWidth="1"/>
    <col min="2563" max="2563" width="12.7109375" style="120" customWidth="1"/>
    <col min="2564" max="2569" width="10.7109375" style="120" customWidth="1"/>
    <col min="2570" max="2570" width="10.28515625" style="120" customWidth="1"/>
    <col min="2571" max="2571" width="11.140625" style="120" customWidth="1"/>
    <col min="2572" max="2572" width="10.7109375" style="120" customWidth="1"/>
    <col min="2573" max="2573" width="9.85546875" style="120" customWidth="1"/>
    <col min="2574" max="2575" width="10.28515625" style="120" customWidth="1"/>
    <col min="2576" max="2576" width="9.42578125" style="120" customWidth="1"/>
    <col min="2577" max="2816" width="8.85546875" style="120"/>
    <col min="2817" max="2817" width="4.7109375" style="120" customWidth="1"/>
    <col min="2818" max="2818" width="26.42578125" style="120" customWidth="1"/>
    <col min="2819" max="2819" width="12.7109375" style="120" customWidth="1"/>
    <col min="2820" max="2825" width="10.7109375" style="120" customWidth="1"/>
    <col min="2826" max="2826" width="10.28515625" style="120" customWidth="1"/>
    <col min="2827" max="2827" width="11.140625" style="120" customWidth="1"/>
    <col min="2828" max="2828" width="10.7109375" style="120" customWidth="1"/>
    <col min="2829" max="2829" width="9.85546875" style="120" customWidth="1"/>
    <col min="2830" max="2831" width="10.28515625" style="120" customWidth="1"/>
    <col min="2832" max="2832" width="9.42578125" style="120" customWidth="1"/>
    <col min="2833" max="3072" width="8.85546875" style="120"/>
    <col min="3073" max="3073" width="4.7109375" style="120" customWidth="1"/>
    <col min="3074" max="3074" width="26.42578125" style="120" customWidth="1"/>
    <col min="3075" max="3075" width="12.7109375" style="120" customWidth="1"/>
    <col min="3076" max="3081" width="10.7109375" style="120" customWidth="1"/>
    <col min="3082" max="3082" width="10.28515625" style="120" customWidth="1"/>
    <col min="3083" max="3083" width="11.140625" style="120" customWidth="1"/>
    <col min="3084" max="3084" width="10.7109375" style="120" customWidth="1"/>
    <col min="3085" max="3085" width="9.85546875" style="120" customWidth="1"/>
    <col min="3086" max="3087" width="10.28515625" style="120" customWidth="1"/>
    <col min="3088" max="3088" width="9.42578125" style="120" customWidth="1"/>
    <col min="3089" max="3328" width="8.85546875" style="120"/>
    <col min="3329" max="3329" width="4.7109375" style="120" customWidth="1"/>
    <col min="3330" max="3330" width="26.42578125" style="120" customWidth="1"/>
    <col min="3331" max="3331" width="12.7109375" style="120" customWidth="1"/>
    <col min="3332" max="3337" width="10.7109375" style="120" customWidth="1"/>
    <col min="3338" max="3338" width="10.28515625" style="120" customWidth="1"/>
    <col min="3339" max="3339" width="11.140625" style="120" customWidth="1"/>
    <col min="3340" max="3340" width="10.7109375" style="120" customWidth="1"/>
    <col min="3341" max="3341" width="9.85546875" style="120" customWidth="1"/>
    <col min="3342" max="3343" width="10.28515625" style="120" customWidth="1"/>
    <col min="3344" max="3344" width="9.42578125" style="120" customWidth="1"/>
    <col min="3345" max="3584" width="8.85546875" style="120"/>
    <col min="3585" max="3585" width="4.7109375" style="120" customWidth="1"/>
    <col min="3586" max="3586" width="26.42578125" style="120" customWidth="1"/>
    <col min="3587" max="3587" width="12.7109375" style="120" customWidth="1"/>
    <col min="3588" max="3593" width="10.7109375" style="120" customWidth="1"/>
    <col min="3594" max="3594" width="10.28515625" style="120" customWidth="1"/>
    <col min="3595" max="3595" width="11.140625" style="120" customWidth="1"/>
    <col min="3596" max="3596" width="10.7109375" style="120" customWidth="1"/>
    <col min="3597" max="3597" width="9.85546875" style="120" customWidth="1"/>
    <col min="3598" max="3599" width="10.28515625" style="120" customWidth="1"/>
    <col min="3600" max="3600" width="9.42578125" style="120" customWidth="1"/>
    <col min="3601" max="3840" width="8.85546875" style="120"/>
    <col min="3841" max="3841" width="4.7109375" style="120" customWidth="1"/>
    <col min="3842" max="3842" width="26.42578125" style="120" customWidth="1"/>
    <col min="3843" max="3843" width="12.7109375" style="120" customWidth="1"/>
    <col min="3844" max="3849" width="10.7109375" style="120" customWidth="1"/>
    <col min="3850" max="3850" width="10.28515625" style="120" customWidth="1"/>
    <col min="3851" max="3851" width="11.140625" style="120" customWidth="1"/>
    <col min="3852" max="3852" width="10.7109375" style="120" customWidth="1"/>
    <col min="3853" max="3853" width="9.85546875" style="120" customWidth="1"/>
    <col min="3854" max="3855" width="10.28515625" style="120" customWidth="1"/>
    <col min="3856" max="3856" width="9.42578125" style="120" customWidth="1"/>
    <col min="3857" max="4096" width="8.85546875" style="120"/>
    <col min="4097" max="4097" width="4.7109375" style="120" customWidth="1"/>
    <col min="4098" max="4098" width="26.42578125" style="120" customWidth="1"/>
    <col min="4099" max="4099" width="12.7109375" style="120" customWidth="1"/>
    <col min="4100" max="4105" width="10.7109375" style="120" customWidth="1"/>
    <col min="4106" max="4106" width="10.28515625" style="120" customWidth="1"/>
    <col min="4107" max="4107" width="11.140625" style="120" customWidth="1"/>
    <col min="4108" max="4108" width="10.7109375" style="120" customWidth="1"/>
    <col min="4109" max="4109" width="9.85546875" style="120" customWidth="1"/>
    <col min="4110" max="4111" width="10.28515625" style="120" customWidth="1"/>
    <col min="4112" max="4112" width="9.42578125" style="120" customWidth="1"/>
    <col min="4113" max="4352" width="8.85546875" style="120"/>
    <col min="4353" max="4353" width="4.7109375" style="120" customWidth="1"/>
    <col min="4354" max="4354" width="26.42578125" style="120" customWidth="1"/>
    <col min="4355" max="4355" width="12.7109375" style="120" customWidth="1"/>
    <col min="4356" max="4361" width="10.7109375" style="120" customWidth="1"/>
    <col min="4362" max="4362" width="10.28515625" style="120" customWidth="1"/>
    <col min="4363" max="4363" width="11.140625" style="120" customWidth="1"/>
    <col min="4364" max="4364" width="10.7109375" style="120" customWidth="1"/>
    <col min="4365" max="4365" width="9.85546875" style="120" customWidth="1"/>
    <col min="4366" max="4367" width="10.28515625" style="120" customWidth="1"/>
    <col min="4368" max="4368" width="9.42578125" style="120" customWidth="1"/>
    <col min="4369" max="4608" width="8.85546875" style="120"/>
    <col min="4609" max="4609" width="4.7109375" style="120" customWidth="1"/>
    <col min="4610" max="4610" width="26.42578125" style="120" customWidth="1"/>
    <col min="4611" max="4611" width="12.7109375" style="120" customWidth="1"/>
    <col min="4612" max="4617" width="10.7109375" style="120" customWidth="1"/>
    <col min="4618" max="4618" width="10.28515625" style="120" customWidth="1"/>
    <col min="4619" max="4619" width="11.140625" style="120" customWidth="1"/>
    <col min="4620" max="4620" width="10.7109375" style="120" customWidth="1"/>
    <col min="4621" max="4621" width="9.85546875" style="120" customWidth="1"/>
    <col min="4622" max="4623" width="10.28515625" style="120" customWidth="1"/>
    <col min="4624" max="4624" width="9.42578125" style="120" customWidth="1"/>
    <col min="4625" max="4864" width="8.85546875" style="120"/>
    <col min="4865" max="4865" width="4.7109375" style="120" customWidth="1"/>
    <col min="4866" max="4866" width="26.42578125" style="120" customWidth="1"/>
    <col min="4867" max="4867" width="12.7109375" style="120" customWidth="1"/>
    <col min="4868" max="4873" width="10.7109375" style="120" customWidth="1"/>
    <col min="4874" max="4874" width="10.28515625" style="120" customWidth="1"/>
    <col min="4875" max="4875" width="11.140625" style="120" customWidth="1"/>
    <col min="4876" max="4876" width="10.7109375" style="120" customWidth="1"/>
    <col min="4877" max="4877" width="9.85546875" style="120" customWidth="1"/>
    <col min="4878" max="4879" width="10.28515625" style="120" customWidth="1"/>
    <col min="4880" max="4880" width="9.42578125" style="120" customWidth="1"/>
    <col min="4881" max="5120" width="8.85546875" style="120"/>
    <col min="5121" max="5121" width="4.7109375" style="120" customWidth="1"/>
    <col min="5122" max="5122" width="26.42578125" style="120" customWidth="1"/>
    <col min="5123" max="5123" width="12.7109375" style="120" customWidth="1"/>
    <col min="5124" max="5129" width="10.7109375" style="120" customWidth="1"/>
    <col min="5130" max="5130" width="10.28515625" style="120" customWidth="1"/>
    <col min="5131" max="5131" width="11.140625" style="120" customWidth="1"/>
    <col min="5132" max="5132" width="10.7109375" style="120" customWidth="1"/>
    <col min="5133" max="5133" width="9.85546875" style="120" customWidth="1"/>
    <col min="5134" max="5135" width="10.28515625" style="120" customWidth="1"/>
    <col min="5136" max="5136" width="9.42578125" style="120" customWidth="1"/>
    <col min="5137" max="5376" width="8.85546875" style="120"/>
    <col min="5377" max="5377" width="4.7109375" style="120" customWidth="1"/>
    <col min="5378" max="5378" width="26.42578125" style="120" customWidth="1"/>
    <col min="5379" max="5379" width="12.7109375" style="120" customWidth="1"/>
    <col min="5380" max="5385" width="10.7109375" style="120" customWidth="1"/>
    <col min="5386" max="5386" width="10.28515625" style="120" customWidth="1"/>
    <col min="5387" max="5387" width="11.140625" style="120" customWidth="1"/>
    <col min="5388" max="5388" width="10.7109375" style="120" customWidth="1"/>
    <col min="5389" max="5389" width="9.85546875" style="120" customWidth="1"/>
    <col min="5390" max="5391" width="10.28515625" style="120" customWidth="1"/>
    <col min="5392" max="5392" width="9.42578125" style="120" customWidth="1"/>
    <col min="5393" max="5632" width="8.85546875" style="120"/>
    <col min="5633" max="5633" width="4.7109375" style="120" customWidth="1"/>
    <col min="5634" max="5634" width="26.42578125" style="120" customWidth="1"/>
    <col min="5635" max="5635" width="12.7109375" style="120" customWidth="1"/>
    <col min="5636" max="5641" width="10.7109375" style="120" customWidth="1"/>
    <col min="5642" max="5642" width="10.28515625" style="120" customWidth="1"/>
    <col min="5643" max="5643" width="11.140625" style="120" customWidth="1"/>
    <col min="5644" max="5644" width="10.7109375" style="120" customWidth="1"/>
    <col min="5645" max="5645" width="9.85546875" style="120" customWidth="1"/>
    <col min="5646" max="5647" width="10.28515625" style="120" customWidth="1"/>
    <col min="5648" max="5648" width="9.42578125" style="120" customWidth="1"/>
    <col min="5649" max="5888" width="8.85546875" style="120"/>
    <col min="5889" max="5889" width="4.7109375" style="120" customWidth="1"/>
    <col min="5890" max="5890" width="26.42578125" style="120" customWidth="1"/>
    <col min="5891" max="5891" width="12.7109375" style="120" customWidth="1"/>
    <col min="5892" max="5897" width="10.7109375" style="120" customWidth="1"/>
    <col min="5898" max="5898" width="10.28515625" style="120" customWidth="1"/>
    <col min="5899" max="5899" width="11.140625" style="120" customWidth="1"/>
    <col min="5900" max="5900" width="10.7109375" style="120" customWidth="1"/>
    <col min="5901" max="5901" width="9.85546875" style="120" customWidth="1"/>
    <col min="5902" max="5903" width="10.28515625" style="120" customWidth="1"/>
    <col min="5904" max="5904" width="9.42578125" style="120" customWidth="1"/>
    <col min="5905" max="6144" width="8.85546875" style="120"/>
    <col min="6145" max="6145" width="4.7109375" style="120" customWidth="1"/>
    <col min="6146" max="6146" width="26.42578125" style="120" customWidth="1"/>
    <col min="6147" max="6147" width="12.7109375" style="120" customWidth="1"/>
    <col min="6148" max="6153" width="10.7109375" style="120" customWidth="1"/>
    <col min="6154" max="6154" width="10.28515625" style="120" customWidth="1"/>
    <col min="6155" max="6155" width="11.140625" style="120" customWidth="1"/>
    <col min="6156" max="6156" width="10.7109375" style="120" customWidth="1"/>
    <col min="6157" max="6157" width="9.85546875" style="120" customWidth="1"/>
    <col min="6158" max="6159" width="10.28515625" style="120" customWidth="1"/>
    <col min="6160" max="6160" width="9.42578125" style="120" customWidth="1"/>
    <col min="6161" max="6400" width="8.85546875" style="120"/>
    <col min="6401" max="6401" width="4.7109375" style="120" customWidth="1"/>
    <col min="6402" max="6402" width="26.42578125" style="120" customWidth="1"/>
    <col min="6403" max="6403" width="12.7109375" style="120" customWidth="1"/>
    <col min="6404" max="6409" width="10.7109375" style="120" customWidth="1"/>
    <col min="6410" max="6410" width="10.28515625" style="120" customWidth="1"/>
    <col min="6411" max="6411" width="11.140625" style="120" customWidth="1"/>
    <col min="6412" max="6412" width="10.7109375" style="120" customWidth="1"/>
    <col min="6413" max="6413" width="9.85546875" style="120" customWidth="1"/>
    <col min="6414" max="6415" width="10.28515625" style="120" customWidth="1"/>
    <col min="6416" max="6416" width="9.42578125" style="120" customWidth="1"/>
    <col min="6417" max="6656" width="8.85546875" style="120"/>
    <col min="6657" max="6657" width="4.7109375" style="120" customWidth="1"/>
    <col min="6658" max="6658" width="26.42578125" style="120" customWidth="1"/>
    <col min="6659" max="6659" width="12.7109375" style="120" customWidth="1"/>
    <col min="6660" max="6665" width="10.7109375" style="120" customWidth="1"/>
    <col min="6666" max="6666" width="10.28515625" style="120" customWidth="1"/>
    <col min="6667" max="6667" width="11.140625" style="120" customWidth="1"/>
    <col min="6668" max="6668" width="10.7109375" style="120" customWidth="1"/>
    <col min="6669" max="6669" width="9.85546875" style="120" customWidth="1"/>
    <col min="6670" max="6671" width="10.28515625" style="120" customWidth="1"/>
    <col min="6672" max="6672" width="9.42578125" style="120" customWidth="1"/>
    <col min="6673" max="6912" width="8.85546875" style="120"/>
    <col min="6913" max="6913" width="4.7109375" style="120" customWidth="1"/>
    <col min="6914" max="6914" width="26.42578125" style="120" customWidth="1"/>
    <col min="6915" max="6915" width="12.7109375" style="120" customWidth="1"/>
    <col min="6916" max="6921" width="10.7109375" style="120" customWidth="1"/>
    <col min="6922" max="6922" width="10.28515625" style="120" customWidth="1"/>
    <col min="6923" max="6923" width="11.140625" style="120" customWidth="1"/>
    <col min="6924" max="6924" width="10.7109375" style="120" customWidth="1"/>
    <col min="6925" max="6925" width="9.85546875" style="120" customWidth="1"/>
    <col min="6926" max="6927" width="10.28515625" style="120" customWidth="1"/>
    <col min="6928" max="6928" width="9.42578125" style="120" customWidth="1"/>
    <col min="6929" max="7168" width="8.85546875" style="120"/>
    <col min="7169" max="7169" width="4.7109375" style="120" customWidth="1"/>
    <col min="7170" max="7170" width="26.42578125" style="120" customWidth="1"/>
    <col min="7171" max="7171" width="12.7109375" style="120" customWidth="1"/>
    <col min="7172" max="7177" width="10.7109375" style="120" customWidth="1"/>
    <col min="7178" max="7178" width="10.28515625" style="120" customWidth="1"/>
    <col min="7179" max="7179" width="11.140625" style="120" customWidth="1"/>
    <col min="7180" max="7180" width="10.7109375" style="120" customWidth="1"/>
    <col min="7181" max="7181" width="9.85546875" style="120" customWidth="1"/>
    <col min="7182" max="7183" width="10.28515625" style="120" customWidth="1"/>
    <col min="7184" max="7184" width="9.42578125" style="120" customWidth="1"/>
    <col min="7185" max="7424" width="8.85546875" style="120"/>
    <col min="7425" max="7425" width="4.7109375" style="120" customWidth="1"/>
    <col min="7426" max="7426" width="26.42578125" style="120" customWidth="1"/>
    <col min="7427" max="7427" width="12.7109375" style="120" customWidth="1"/>
    <col min="7428" max="7433" width="10.7109375" style="120" customWidth="1"/>
    <col min="7434" max="7434" width="10.28515625" style="120" customWidth="1"/>
    <col min="7435" max="7435" width="11.140625" style="120" customWidth="1"/>
    <col min="7436" max="7436" width="10.7109375" style="120" customWidth="1"/>
    <col min="7437" max="7437" width="9.85546875" style="120" customWidth="1"/>
    <col min="7438" max="7439" width="10.28515625" style="120" customWidth="1"/>
    <col min="7440" max="7440" width="9.42578125" style="120" customWidth="1"/>
    <col min="7441" max="7680" width="8.85546875" style="120"/>
    <col min="7681" max="7681" width="4.7109375" style="120" customWidth="1"/>
    <col min="7682" max="7682" width="26.42578125" style="120" customWidth="1"/>
    <col min="7683" max="7683" width="12.7109375" style="120" customWidth="1"/>
    <col min="7684" max="7689" width="10.7109375" style="120" customWidth="1"/>
    <col min="7690" max="7690" width="10.28515625" style="120" customWidth="1"/>
    <col min="7691" max="7691" width="11.140625" style="120" customWidth="1"/>
    <col min="7692" max="7692" width="10.7109375" style="120" customWidth="1"/>
    <col min="7693" max="7693" width="9.85546875" style="120" customWidth="1"/>
    <col min="7694" max="7695" width="10.28515625" style="120" customWidth="1"/>
    <col min="7696" max="7696" width="9.42578125" style="120" customWidth="1"/>
    <col min="7697" max="7936" width="8.85546875" style="120"/>
    <col min="7937" max="7937" width="4.7109375" style="120" customWidth="1"/>
    <col min="7938" max="7938" width="26.42578125" style="120" customWidth="1"/>
    <col min="7939" max="7939" width="12.7109375" style="120" customWidth="1"/>
    <col min="7940" max="7945" width="10.7109375" style="120" customWidth="1"/>
    <col min="7946" max="7946" width="10.28515625" style="120" customWidth="1"/>
    <col min="7947" max="7947" width="11.140625" style="120" customWidth="1"/>
    <col min="7948" max="7948" width="10.7109375" style="120" customWidth="1"/>
    <col min="7949" max="7949" width="9.85546875" style="120" customWidth="1"/>
    <col min="7950" max="7951" width="10.28515625" style="120" customWidth="1"/>
    <col min="7952" max="7952" width="9.42578125" style="120" customWidth="1"/>
    <col min="7953" max="8192" width="8.85546875" style="120"/>
    <col min="8193" max="8193" width="4.7109375" style="120" customWidth="1"/>
    <col min="8194" max="8194" width="26.42578125" style="120" customWidth="1"/>
    <col min="8195" max="8195" width="12.7109375" style="120" customWidth="1"/>
    <col min="8196" max="8201" width="10.7109375" style="120" customWidth="1"/>
    <col min="8202" max="8202" width="10.28515625" style="120" customWidth="1"/>
    <col min="8203" max="8203" width="11.140625" style="120" customWidth="1"/>
    <col min="8204" max="8204" width="10.7109375" style="120" customWidth="1"/>
    <col min="8205" max="8205" width="9.85546875" style="120" customWidth="1"/>
    <col min="8206" max="8207" width="10.28515625" style="120" customWidth="1"/>
    <col min="8208" max="8208" width="9.42578125" style="120" customWidth="1"/>
    <col min="8209" max="8448" width="8.85546875" style="120"/>
    <col min="8449" max="8449" width="4.7109375" style="120" customWidth="1"/>
    <col min="8450" max="8450" width="26.42578125" style="120" customWidth="1"/>
    <col min="8451" max="8451" width="12.7109375" style="120" customWidth="1"/>
    <col min="8452" max="8457" width="10.7109375" style="120" customWidth="1"/>
    <col min="8458" max="8458" width="10.28515625" style="120" customWidth="1"/>
    <col min="8459" max="8459" width="11.140625" style="120" customWidth="1"/>
    <col min="8460" max="8460" width="10.7109375" style="120" customWidth="1"/>
    <col min="8461" max="8461" width="9.85546875" style="120" customWidth="1"/>
    <col min="8462" max="8463" width="10.28515625" style="120" customWidth="1"/>
    <col min="8464" max="8464" width="9.42578125" style="120" customWidth="1"/>
    <col min="8465" max="8704" width="8.85546875" style="120"/>
    <col min="8705" max="8705" width="4.7109375" style="120" customWidth="1"/>
    <col min="8706" max="8706" width="26.42578125" style="120" customWidth="1"/>
    <col min="8707" max="8707" width="12.7109375" style="120" customWidth="1"/>
    <col min="8708" max="8713" width="10.7109375" style="120" customWidth="1"/>
    <col min="8714" max="8714" width="10.28515625" style="120" customWidth="1"/>
    <col min="8715" max="8715" width="11.140625" style="120" customWidth="1"/>
    <col min="8716" max="8716" width="10.7109375" style="120" customWidth="1"/>
    <col min="8717" max="8717" width="9.85546875" style="120" customWidth="1"/>
    <col min="8718" max="8719" width="10.28515625" style="120" customWidth="1"/>
    <col min="8720" max="8720" width="9.42578125" style="120" customWidth="1"/>
    <col min="8721" max="8960" width="8.85546875" style="120"/>
    <col min="8961" max="8961" width="4.7109375" style="120" customWidth="1"/>
    <col min="8962" max="8962" width="26.42578125" style="120" customWidth="1"/>
    <col min="8963" max="8963" width="12.7109375" style="120" customWidth="1"/>
    <col min="8964" max="8969" width="10.7109375" style="120" customWidth="1"/>
    <col min="8970" max="8970" width="10.28515625" style="120" customWidth="1"/>
    <col min="8971" max="8971" width="11.140625" style="120" customWidth="1"/>
    <col min="8972" max="8972" width="10.7109375" style="120" customWidth="1"/>
    <col min="8973" max="8973" width="9.85546875" style="120" customWidth="1"/>
    <col min="8974" max="8975" width="10.28515625" style="120" customWidth="1"/>
    <col min="8976" max="8976" width="9.42578125" style="120" customWidth="1"/>
    <col min="8977" max="9216" width="8.85546875" style="120"/>
    <col min="9217" max="9217" width="4.7109375" style="120" customWidth="1"/>
    <col min="9218" max="9218" width="26.42578125" style="120" customWidth="1"/>
    <col min="9219" max="9219" width="12.7109375" style="120" customWidth="1"/>
    <col min="9220" max="9225" width="10.7109375" style="120" customWidth="1"/>
    <col min="9226" max="9226" width="10.28515625" style="120" customWidth="1"/>
    <col min="9227" max="9227" width="11.140625" style="120" customWidth="1"/>
    <col min="9228" max="9228" width="10.7109375" style="120" customWidth="1"/>
    <col min="9229" max="9229" width="9.85546875" style="120" customWidth="1"/>
    <col min="9230" max="9231" width="10.28515625" style="120" customWidth="1"/>
    <col min="9232" max="9232" width="9.42578125" style="120" customWidth="1"/>
    <col min="9233" max="9472" width="8.85546875" style="120"/>
    <col min="9473" max="9473" width="4.7109375" style="120" customWidth="1"/>
    <col min="9474" max="9474" width="26.42578125" style="120" customWidth="1"/>
    <col min="9475" max="9475" width="12.7109375" style="120" customWidth="1"/>
    <col min="9476" max="9481" width="10.7109375" style="120" customWidth="1"/>
    <col min="9482" max="9482" width="10.28515625" style="120" customWidth="1"/>
    <col min="9483" max="9483" width="11.140625" style="120" customWidth="1"/>
    <col min="9484" max="9484" width="10.7109375" style="120" customWidth="1"/>
    <col min="9485" max="9485" width="9.85546875" style="120" customWidth="1"/>
    <col min="9486" max="9487" width="10.28515625" style="120" customWidth="1"/>
    <col min="9488" max="9488" width="9.42578125" style="120" customWidth="1"/>
    <col min="9489" max="9728" width="8.85546875" style="120"/>
    <col min="9729" max="9729" width="4.7109375" style="120" customWidth="1"/>
    <col min="9730" max="9730" width="26.42578125" style="120" customWidth="1"/>
    <col min="9731" max="9731" width="12.7109375" style="120" customWidth="1"/>
    <col min="9732" max="9737" width="10.7109375" style="120" customWidth="1"/>
    <col min="9738" max="9738" width="10.28515625" style="120" customWidth="1"/>
    <col min="9739" max="9739" width="11.140625" style="120" customWidth="1"/>
    <col min="9740" max="9740" width="10.7109375" style="120" customWidth="1"/>
    <col min="9741" max="9741" width="9.85546875" style="120" customWidth="1"/>
    <col min="9742" max="9743" width="10.28515625" style="120" customWidth="1"/>
    <col min="9744" max="9744" width="9.42578125" style="120" customWidth="1"/>
    <col min="9745" max="9984" width="8.85546875" style="120"/>
    <col min="9985" max="9985" width="4.7109375" style="120" customWidth="1"/>
    <col min="9986" max="9986" width="26.42578125" style="120" customWidth="1"/>
    <col min="9987" max="9987" width="12.7109375" style="120" customWidth="1"/>
    <col min="9988" max="9993" width="10.7109375" style="120" customWidth="1"/>
    <col min="9994" max="9994" width="10.28515625" style="120" customWidth="1"/>
    <col min="9995" max="9995" width="11.140625" style="120" customWidth="1"/>
    <col min="9996" max="9996" width="10.7109375" style="120" customWidth="1"/>
    <col min="9997" max="9997" width="9.85546875" style="120" customWidth="1"/>
    <col min="9998" max="9999" width="10.28515625" style="120" customWidth="1"/>
    <col min="10000" max="10000" width="9.42578125" style="120" customWidth="1"/>
    <col min="10001" max="10240" width="8.85546875" style="120"/>
    <col min="10241" max="10241" width="4.7109375" style="120" customWidth="1"/>
    <col min="10242" max="10242" width="26.42578125" style="120" customWidth="1"/>
    <col min="10243" max="10243" width="12.7109375" style="120" customWidth="1"/>
    <col min="10244" max="10249" width="10.7109375" style="120" customWidth="1"/>
    <col min="10250" max="10250" width="10.28515625" style="120" customWidth="1"/>
    <col min="10251" max="10251" width="11.140625" style="120" customWidth="1"/>
    <col min="10252" max="10252" width="10.7109375" style="120" customWidth="1"/>
    <col min="10253" max="10253" width="9.85546875" style="120" customWidth="1"/>
    <col min="10254" max="10255" width="10.28515625" style="120" customWidth="1"/>
    <col min="10256" max="10256" width="9.42578125" style="120" customWidth="1"/>
    <col min="10257" max="10496" width="8.85546875" style="120"/>
    <col min="10497" max="10497" width="4.7109375" style="120" customWidth="1"/>
    <col min="10498" max="10498" width="26.42578125" style="120" customWidth="1"/>
    <col min="10499" max="10499" width="12.7109375" style="120" customWidth="1"/>
    <col min="10500" max="10505" width="10.7109375" style="120" customWidth="1"/>
    <col min="10506" max="10506" width="10.28515625" style="120" customWidth="1"/>
    <col min="10507" max="10507" width="11.140625" style="120" customWidth="1"/>
    <col min="10508" max="10508" width="10.7109375" style="120" customWidth="1"/>
    <col min="10509" max="10509" width="9.85546875" style="120" customWidth="1"/>
    <col min="10510" max="10511" width="10.28515625" style="120" customWidth="1"/>
    <col min="10512" max="10512" width="9.42578125" style="120" customWidth="1"/>
    <col min="10513" max="10752" width="8.85546875" style="120"/>
    <col min="10753" max="10753" width="4.7109375" style="120" customWidth="1"/>
    <col min="10754" max="10754" width="26.42578125" style="120" customWidth="1"/>
    <col min="10755" max="10755" width="12.7109375" style="120" customWidth="1"/>
    <col min="10756" max="10761" width="10.7109375" style="120" customWidth="1"/>
    <col min="10762" max="10762" width="10.28515625" style="120" customWidth="1"/>
    <col min="10763" max="10763" width="11.140625" style="120" customWidth="1"/>
    <col min="10764" max="10764" width="10.7109375" style="120" customWidth="1"/>
    <col min="10765" max="10765" width="9.85546875" style="120" customWidth="1"/>
    <col min="10766" max="10767" width="10.28515625" style="120" customWidth="1"/>
    <col min="10768" max="10768" width="9.42578125" style="120" customWidth="1"/>
    <col min="10769" max="11008" width="8.85546875" style="120"/>
    <col min="11009" max="11009" width="4.7109375" style="120" customWidth="1"/>
    <col min="11010" max="11010" width="26.42578125" style="120" customWidth="1"/>
    <col min="11011" max="11011" width="12.7109375" style="120" customWidth="1"/>
    <col min="11012" max="11017" width="10.7109375" style="120" customWidth="1"/>
    <col min="11018" max="11018" width="10.28515625" style="120" customWidth="1"/>
    <col min="11019" max="11019" width="11.140625" style="120" customWidth="1"/>
    <col min="11020" max="11020" width="10.7109375" style="120" customWidth="1"/>
    <col min="11021" max="11021" width="9.85546875" style="120" customWidth="1"/>
    <col min="11022" max="11023" width="10.28515625" style="120" customWidth="1"/>
    <col min="11024" max="11024" width="9.42578125" style="120" customWidth="1"/>
    <col min="11025" max="11264" width="8.85546875" style="120"/>
    <col min="11265" max="11265" width="4.7109375" style="120" customWidth="1"/>
    <col min="11266" max="11266" width="26.42578125" style="120" customWidth="1"/>
    <col min="11267" max="11267" width="12.7109375" style="120" customWidth="1"/>
    <col min="11268" max="11273" width="10.7109375" style="120" customWidth="1"/>
    <col min="11274" max="11274" width="10.28515625" style="120" customWidth="1"/>
    <col min="11275" max="11275" width="11.140625" style="120" customWidth="1"/>
    <col min="11276" max="11276" width="10.7109375" style="120" customWidth="1"/>
    <col min="11277" max="11277" width="9.85546875" style="120" customWidth="1"/>
    <col min="11278" max="11279" width="10.28515625" style="120" customWidth="1"/>
    <col min="11280" max="11280" width="9.42578125" style="120" customWidth="1"/>
    <col min="11281" max="11520" width="8.85546875" style="120"/>
    <col min="11521" max="11521" width="4.7109375" style="120" customWidth="1"/>
    <col min="11522" max="11522" width="26.42578125" style="120" customWidth="1"/>
    <col min="11523" max="11523" width="12.7109375" style="120" customWidth="1"/>
    <col min="11524" max="11529" width="10.7109375" style="120" customWidth="1"/>
    <col min="11530" max="11530" width="10.28515625" style="120" customWidth="1"/>
    <col min="11531" max="11531" width="11.140625" style="120" customWidth="1"/>
    <col min="11532" max="11532" width="10.7109375" style="120" customWidth="1"/>
    <col min="11533" max="11533" width="9.85546875" style="120" customWidth="1"/>
    <col min="11534" max="11535" width="10.28515625" style="120" customWidth="1"/>
    <col min="11536" max="11536" width="9.42578125" style="120" customWidth="1"/>
    <col min="11537" max="11776" width="8.85546875" style="120"/>
    <col min="11777" max="11777" width="4.7109375" style="120" customWidth="1"/>
    <col min="11778" max="11778" width="26.42578125" style="120" customWidth="1"/>
    <col min="11779" max="11779" width="12.7109375" style="120" customWidth="1"/>
    <col min="11780" max="11785" width="10.7109375" style="120" customWidth="1"/>
    <col min="11786" max="11786" width="10.28515625" style="120" customWidth="1"/>
    <col min="11787" max="11787" width="11.140625" style="120" customWidth="1"/>
    <col min="11788" max="11788" width="10.7109375" style="120" customWidth="1"/>
    <col min="11789" max="11789" width="9.85546875" style="120" customWidth="1"/>
    <col min="11790" max="11791" width="10.28515625" style="120" customWidth="1"/>
    <col min="11792" max="11792" width="9.42578125" style="120" customWidth="1"/>
    <col min="11793" max="12032" width="8.85546875" style="120"/>
    <col min="12033" max="12033" width="4.7109375" style="120" customWidth="1"/>
    <col min="12034" max="12034" width="26.42578125" style="120" customWidth="1"/>
    <col min="12035" max="12035" width="12.7109375" style="120" customWidth="1"/>
    <col min="12036" max="12041" width="10.7109375" style="120" customWidth="1"/>
    <col min="12042" max="12042" width="10.28515625" style="120" customWidth="1"/>
    <col min="12043" max="12043" width="11.140625" style="120" customWidth="1"/>
    <col min="12044" max="12044" width="10.7109375" style="120" customWidth="1"/>
    <col min="12045" max="12045" width="9.85546875" style="120" customWidth="1"/>
    <col min="12046" max="12047" width="10.28515625" style="120" customWidth="1"/>
    <col min="12048" max="12048" width="9.42578125" style="120" customWidth="1"/>
    <col min="12049" max="12288" width="8.85546875" style="120"/>
    <col min="12289" max="12289" width="4.7109375" style="120" customWidth="1"/>
    <col min="12290" max="12290" width="26.42578125" style="120" customWidth="1"/>
    <col min="12291" max="12291" width="12.7109375" style="120" customWidth="1"/>
    <col min="12292" max="12297" width="10.7109375" style="120" customWidth="1"/>
    <col min="12298" max="12298" width="10.28515625" style="120" customWidth="1"/>
    <col min="12299" max="12299" width="11.140625" style="120" customWidth="1"/>
    <col min="12300" max="12300" width="10.7109375" style="120" customWidth="1"/>
    <col min="12301" max="12301" width="9.85546875" style="120" customWidth="1"/>
    <col min="12302" max="12303" width="10.28515625" style="120" customWidth="1"/>
    <col min="12304" max="12304" width="9.42578125" style="120" customWidth="1"/>
    <col min="12305" max="12544" width="8.85546875" style="120"/>
    <col min="12545" max="12545" width="4.7109375" style="120" customWidth="1"/>
    <col min="12546" max="12546" width="26.42578125" style="120" customWidth="1"/>
    <col min="12547" max="12547" width="12.7109375" style="120" customWidth="1"/>
    <col min="12548" max="12553" width="10.7109375" style="120" customWidth="1"/>
    <col min="12554" max="12554" width="10.28515625" style="120" customWidth="1"/>
    <col min="12555" max="12555" width="11.140625" style="120" customWidth="1"/>
    <col min="12556" max="12556" width="10.7109375" style="120" customWidth="1"/>
    <col min="12557" max="12557" width="9.85546875" style="120" customWidth="1"/>
    <col min="12558" max="12559" width="10.28515625" style="120" customWidth="1"/>
    <col min="12560" max="12560" width="9.42578125" style="120" customWidth="1"/>
    <col min="12561" max="12800" width="8.85546875" style="120"/>
    <col min="12801" max="12801" width="4.7109375" style="120" customWidth="1"/>
    <col min="12802" max="12802" width="26.42578125" style="120" customWidth="1"/>
    <col min="12803" max="12803" width="12.7109375" style="120" customWidth="1"/>
    <col min="12804" max="12809" width="10.7109375" style="120" customWidth="1"/>
    <col min="12810" max="12810" width="10.28515625" style="120" customWidth="1"/>
    <col min="12811" max="12811" width="11.140625" style="120" customWidth="1"/>
    <col min="12812" max="12812" width="10.7109375" style="120" customWidth="1"/>
    <col min="12813" max="12813" width="9.85546875" style="120" customWidth="1"/>
    <col min="12814" max="12815" width="10.28515625" style="120" customWidth="1"/>
    <col min="12816" max="12816" width="9.42578125" style="120" customWidth="1"/>
    <col min="12817" max="13056" width="8.85546875" style="120"/>
    <col min="13057" max="13057" width="4.7109375" style="120" customWidth="1"/>
    <col min="13058" max="13058" width="26.42578125" style="120" customWidth="1"/>
    <col min="13059" max="13059" width="12.7109375" style="120" customWidth="1"/>
    <col min="13060" max="13065" width="10.7109375" style="120" customWidth="1"/>
    <col min="13066" max="13066" width="10.28515625" style="120" customWidth="1"/>
    <col min="13067" max="13067" width="11.140625" style="120" customWidth="1"/>
    <col min="13068" max="13068" width="10.7109375" style="120" customWidth="1"/>
    <col min="13069" max="13069" width="9.85546875" style="120" customWidth="1"/>
    <col min="13070" max="13071" width="10.28515625" style="120" customWidth="1"/>
    <col min="13072" max="13072" width="9.42578125" style="120" customWidth="1"/>
    <col min="13073" max="13312" width="8.85546875" style="120"/>
    <col min="13313" max="13313" width="4.7109375" style="120" customWidth="1"/>
    <col min="13314" max="13314" width="26.42578125" style="120" customWidth="1"/>
    <col min="13315" max="13315" width="12.7109375" style="120" customWidth="1"/>
    <col min="13316" max="13321" width="10.7109375" style="120" customWidth="1"/>
    <col min="13322" max="13322" width="10.28515625" style="120" customWidth="1"/>
    <col min="13323" max="13323" width="11.140625" style="120" customWidth="1"/>
    <col min="13324" max="13324" width="10.7109375" style="120" customWidth="1"/>
    <col min="13325" max="13325" width="9.85546875" style="120" customWidth="1"/>
    <col min="13326" max="13327" width="10.28515625" style="120" customWidth="1"/>
    <col min="13328" max="13328" width="9.42578125" style="120" customWidth="1"/>
    <col min="13329" max="13568" width="8.85546875" style="120"/>
    <col min="13569" max="13569" width="4.7109375" style="120" customWidth="1"/>
    <col min="13570" max="13570" width="26.42578125" style="120" customWidth="1"/>
    <col min="13571" max="13571" width="12.7109375" style="120" customWidth="1"/>
    <col min="13572" max="13577" width="10.7109375" style="120" customWidth="1"/>
    <col min="13578" max="13578" width="10.28515625" style="120" customWidth="1"/>
    <col min="13579" max="13579" width="11.140625" style="120" customWidth="1"/>
    <col min="13580" max="13580" width="10.7109375" style="120" customWidth="1"/>
    <col min="13581" max="13581" width="9.85546875" style="120" customWidth="1"/>
    <col min="13582" max="13583" width="10.28515625" style="120" customWidth="1"/>
    <col min="13584" max="13584" width="9.42578125" style="120" customWidth="1"/>
    <col min="13585" max="13824" width="8.85546875" style="120"/>
    <col min="13825" max="13825" width="4.7109375" style="120" customWidth="1"/>
    <col min="13826" max="13826" width="26.42578125" style="120" customWidth="1"/>
    <col min="13827" max="13827" width="12.7109375" style="120" customWidth="1"/>
    <col min="13828" max="13833" width="10.7109375" style="120" customWidth="1"/>
    <col min="13834" max="13834" width="10.28515625" style="120" customWidth="1"/>
    <col min="13835" max="13835" width="11.140625" style="120" customWidth="1"/>
    <col min="13836" max="13836" width="10.7109375" style="120" customWidth="1"/>
    <col min="13837" max="13837" width="9.85546875" style="120" customWidth="1"/>
    <col min="13838" max="13839" width="10.28515625" style="120" customWidth="1"/>
    <col min="13840" max="13840" width="9.42578125" style="120" customWidth="1"/>
    <col min="13841" max="14080" width="8.85546875" style="120"/>
    <col min="14081" max="14081" width="4.7109375" style="120" customWidth="1"/>
    <col min="14082" max="14082" width="26.42578125" style="120" customWidth="1"/>
    <col min="14083" max="14083" width="12.7109375" style="120" customWidth="1"/>
    <col min="14084" max="14089" width="10.7109375" style="120" customWidth="1"/>
    <col min="14090" max="14090" width="10.28515625" style="120" customWidth="1"/>
    <col min="14091" max="14091" width="11.140625" style="120" customWidth="1"/>
    <col min="14092" max="14092" width="10.7109375" style="120" customWidth="1"/>
    <col min="14093" max="14093" width="9.85546875" style="120" customWidth="1"/>
    <col min="14094" max="14095" width="10.28515625" style="120" customWidth="1"/>
    <col min="14096" max="14096" width="9.42578125" style="120" customWidth="1"/>
    <col min="14097" max="14336" width="8.85546875" style="120"/>
    <col min="14337" max="14337" width="4.7109375" style="120" customWidth="1"/>
    <col min="14338" max="14338" width="26.42578125" style="120" customWidth="1"/>
    <col min="14339" max="14339" width="12.7109375" style="120" customWidth="1"/>
    <col min="14340" max="14345" width="10.7109375" style="120" customWidth="1"/>
    <col min="14346" max="14346" width="10.28515625" style="120" customWidth="1"/>
    <col min="14347" max="14347" width="11.140625" style="120" customWidth="1"/>
    <col min="14348" max="14348" width="10.7109375" style="120" customWidth="1"/>
    <col min="14349" max="14349" width="9.85546875" style="120" customWidth="1"/>
    <col min="14350" max="14351" width="10.28515625" style="120" customWidth="1"/>
    <col min="14352" max="14352" width="9.42578125" style="120" customWidth="1"/>
    <col min="14353" max="14592" width="8.85546875" style="120"/>
    <col min="14593" max="14593" width="4.7109375" style="120" customWidth="1"/>
    <col min="14594" max="14594" width="26.42578125" style="120" customWidth="1"/>
    <col min="14595" max="14595" width="12.7109375" style="120" customWidth="1"/>
    <col min="14596" max="14601" width="10.7109375" style="120" customWidth="1"/>
    <col min="14602" max="14602" width="10.28515625" style="120" customWidth="1"/>
    <col min="14603" max="14603" width="11.140625" style="120" customWidth="1"/>
    <col min="14604" max="14604" width="10.7109375" style="120" customWidth="1"/>
    <col min="14605" max="14605" width="9.85546875" style="120" customWidth="1"/>
    <col min="14606" max="14607" width="10.28515625" style="120" customWidth="1"/>
    <col min="14608" max="14608" width="9.42578125" style="120" customWidth="1"/>
    <col min="14609" max="14848" width="8.85546875" style="120"/>
    <col min="14849" max="14849" width="4.7109375" style="120" customWidth="1"/>
    <col min="14850" max="14850" width="26.42578125" style="120" customWidth="1"/>
    <col min="14851" max="14851" width="12.7109375" style="120" customWidth="1"/>
    <col min="14852" max="14857" width="10.7109375" style="120" customWidth="1"/>
    <col min="14858" max="14858" width="10.28515625" style="120" customWidth="1"/>
    <col min="14859" max="14859" width="11.140625" style="120" customWidth="1"/>
    <col min="14860" max="14860" width="10.7109375" style="120" customWidth="1"/>
    <col min="14861" max="14861" width="9.85546875" style="120" customWidth="1"/>
    <col min="14862" max="14863" width="10.28515625" style="120" customWidth="1"/>
    <col min="14864" max="14864" width="9.42578125" style="120" customWidth="1"/>
    <col min="14865" max="15104" width="8.85546875" style="120"/>
    <col min="15105" max="15105" width="4.7109375" style="120" customWidth="1"/>
    <col min="15106" max="15106" width="26.42578125" style="120" customWidth="1"/>
    <col min="15107" max="15107" width="12.7109375" style="120" customWidth="1"/>
    <col min="15108" max="15113" width="10.7109375" style="120" customWidth="1"/>
    <col min="15114" max="15114" width="10.28515625" style="120" customWidth="1"/>
    <col min="15115" max="15115" width="11.140625" style="120" customWidth="1"/>
    <col min="15116" max="15116" width="10.7109375" style="120" customWidth="1"/>
    <col min="15117" max="15117" width="9.85546875" style="120" customWidth="1"/>
    <col min="15118" max="15119" width="10.28515625" style="120" customWidth="1"/>
    <col min="15120" max="15120" width="9.42578125" style="120" customWidth="1"/>
    <col min="15121" max="15360" width="8.85546875" style="120"/>
    <col min="15361" max="15361" width="4.7109375" style="120" customWidth="1"/>
    <col min="15362" max="15362" width="26.42578125" style="120" customWidth="1"/>
    <col min="15363" max="15363" width="12.7109375" style="120" customWidth="1"/>
    <col min="15364" max="15369" width="10.7109375" style="120" customWidth="1"/>
    <col min="15370" max="15370" width="10.28515625" style="120" customWidth="1"/>
    <col min="15371" max="15371" width="11.140625" style="120" customWidth="1"/>
    <col min="15372" max="15372" width="10.7109375" style="120" customWidth="1"/>
    <col min="15373" max="15373" width="9.85546875" style="120" customWidth="1"/>
    <col min="15374" max="15375" width="10.28515625" style="120" customWidth="1"/>
    <col min="15376" max="15376" width="9.42578125" style="120" customWidth="1"/>
    <col min="15377" max="15616" width="8.85546875" style="120"/>
    <col min="15617" max="15617" width="4.7109375" style="120" customWidth="1"/>
    <col min="15618" max="15618" width="26.42578125" style="120" customWidth="1"/>
    <col min="15619" max="15619" width="12.7109375" style="120" customWidth="1"/>
    <col min="15620" max="15625" width="10.7109375" style="120" customWidth="1"/>
    <col min="15626" max="15626" width="10.28515625" style="120" customWidth="1"/>
    <col min="15627" max="15627" width="11.140625" style="120" customWidth="1"/>
    <col min="15628" max="15628" width="10.7109375" style="120" customWidth="1"/>
    <col min="15629" max="15629" width="9.85546875" style="120" customWidth="1"/>
    <col min="15630" max="15631" width="10.28515625" style="120" customWidth="1"/>
    <col min="15632" max="15632" width="9.42578125" style="120" customWidth="1"/>
    <col min="15633" max="15872" width="8.85546875" style="120"/>
    <col min="15873" max="15873" width="4.7109375" style="120" customWidth="1"/>
    <col min="15874" max="15874" width="26.42578125" style="120" customWidth="1"/>
    <col min="15875" max="15875" width="12.7109375" style="120" customWidth="1"/>
    <col min="15876" max="15881" width="10.7109375" style="120" customWidth="1"/>
    <col min="15882" max="15882" width="10.28515625" style="120" customWidth="1"/>
    <col min="15883" max="15883" width="11.140625" style="120" customWidth="1"/>
    <col min="15884" max="15884" width="10.7109375" style="120" customWidth="1"/>
    <col min="15885" max="15885" width="9.85546875" style="120" customWidth="1"/>
    <col min="15886" max="15887" width="10.28515625" style="120" customWidth="1"/>
    <col min="15888" max="15888" width="9.42578125" style="120" customWidth="1"/>
    <col min="15889" max="16128" width="8.85546875" style="120"/>
    <col min="16129" max="16129" width="4.7109375" style="120" customWidth="1"/>
    <col min="16130" max="16130" width="26.42578125" style="120" customWidth="1"/>
    <col min="16131" max="16131" width="12.7109375" style="120" customWidth="1"/>
    <col min="16132" max="16137" width="10.7109375" style="120" customWidth="1"/>
    <col min="16138" max="16138" width="10.28515625" style="120" customWidth="1"/>
    <col min="16139" max="16139" width="11.140625" style="120" customWidth="1"/>
    <col min="16140" max="16140" width="10.7109375" style="120" customWidth="1"/>
    <col min="16141" max="16141" width="9.85546875" style="120" customWidth="1"/>
    <col min="16142" max="16143" width="10.28515625" style="120" customWidth="1"/>
    <col min="16144" max="16144" width="9.42578125" style="120" customWidth="1"/>
    <col min="16145" max="16384" width="8.85546875" style="120"/>
  </cols>
  <sheetData>
    <row r="1" spans="1:49" s="114" customFormat="1" ht="18" customHeight="1" thickBot="1" x14ac:dyDescent="0.3">
      <c r="A1" s="113"/>
      <c r="B1" s="448" t="s">
        <v>99</v>
      </c>
      <c r="C1" s="449"/>
      <c r="D1" s="450"/>
      <c r="E1" s="464"/>
      <c r="F1" s="464"/>
      <c r="G1" s="464"/>
      <c r="H1" s="111"/>
      <c r="I1" s="112"/>
      <c r="J1" s="105"/>
      <c r="K1" s="112"/>
      <c r="L1" s="112"/>
      <c r="M1" s="112"/>
      <c r="N1" s="112"/>
      <c r="O1" s="112"/>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row>
    <row r="2" spans="1:49" x14ac:dyDescent="0.25">
      <c r="B2" s="451" t="s">
        <v>1</v>
      </c>
      <c r="C2" s="452"/>
      <c r="D2" s="453"/>
      <c r="E2" s="111"/>
      <c r="F2" s="111"/>
      <c r="G2" s="111"/>
      <c r="H2" s="111"/>
      <c r="I2" s="119"/>
      <c r="J2" s="119"/>
      <c r="K2" s="119"/>
      <c r="L2" s="119"/>
      <c r="M2" s="119"/>
      <c r="N2" s="119"/>
      <c r="O2" s="119"/>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row>
    <row r="3" spans="1:49" x14ac:dyDescent="0.25">
      <c r="B3" s="454" t="s">
        <v>2</v>
      </c>
      <c r="C3" s="455"/>
      <c r="D3" s="456"/>
      <c r="E3" s="111"/>
      <c r="F3" s="111"/>
      <c r="G3" s="111"/>
      <c r="H3" s="111"/>
      <c r="I3" s="119"/>
      <c r="J3" s="119"/>
      <c r="K3" s="119"/>
      <c r="L3" s="119"/>
      <c r="M3" s="119"/>
      <c r="N3" s="119"/>
      <c r="O3" s="119"/>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pans="1:49" s="112" customFormat="1" ht="15.75" thickBot="1" x14ac:dyDescent="0.3">
      <c r="B4" s="457" t="s">
        <v>3</v>
      </c>
      <c r="C4" s="458"/>
      <c r="D4" s="459"/>
      <c r="E4" s="111"/>
      <c r="F4" s="111"/>
      <c r="G4" s="111"/>
      <c r="H4" s="111"/>
      <c r="I4" s="119"/>
      <c r="J4" s="119"/>
      <c r="K4" s="119"/>
      <c r="L4" s="119"/>
      <c r="M4" s="119"/>
      <c r="N4" s="119"/>
      <c r="O4" s="119"/>
    </row>
    <row r="5" spans="1:49" s="112" customFormat="1" ht="15.75" thickBot="1" x14ac:dyDescent="0.3">
      <c r="A5" s="119"/>
      <c r="B5" s="110"/>
      <c r="C5" s="211"/>
      <c r="D5" s="211"/>
      <c r="E5" s="212"/>
      <c r="F5" s="111"/>
      <c r="G5" s="111"/>
      <c r="H5" s="111"/>
      <c r="I5" s="111"/>
      <c r="J5" s="119"/>
      <c r="K5" s="119"/>
      <c r="L5" s="119"/>
      <c r="M5" s="119"/>
      <c r="N5" s="119"/>
      <c r="O5" s="119"/>
      <c r="P5" s="119"/>
    </row>
    <row r="6" spans="1:49" s="112" customFormat="1" ht="22.9" customHeight="1" x14ac:dyDescent="0.25">
      <c r="B6" s="460" t="s">
        <v>325</v>
      </c>
      <c r="C6" s="461"/>
      <c r="D6" s="461"/>
      <c r="E6" s="461"/>
      <c r="F6" s="461"/>
      <c r="G6" s="462"/>
      <c r="H6" s="109"/>
      <c r="I6" s="119"/>
      <c r="J6" s="119"/>
      <c r="K6" s="119"/>
      <c r="L6" s="119"/>
      <c r="M6" s="119"/>
      <c r="N6" s="119"/>
      <c r="O6" s="119"/>
    </row>
    <row r="7" spans="1:49" s="112" customFormat="1" ht="18.600000000000001" customHeight="1" x14ac:dyDescent="0.25">
      <c r="B7" s="213" t="s">
        <v>222</v>
      </c>
      <c r="C7" s="214" t="s">
        <v>70</v>
      </c>
      <c r="D7" s="215" t="s">
        <v>344</v>
      </c>
      <c r="E7" s="217" t="s">
        <v>225</v>
      </c>
      <c r="F7" s="218" t="s">
        <v>321</v>
      </c>
      <c r="G7" s="109"/>
      <c r="H7" s="119"/>
      <c r="I7" s="119"/>
      <c r="J7" s="119"/>
      <c r="K7" s="119"/>
      <c r="L7" s="119"/>
      <c r="M7" s="119"/>
      <c r="N7" s="119"/>
    </row>
    <row r="8" spans="1:49" s="112" customFormat="1" x14ac:dyDescent="0.25">
      <c r="B8" s="219" t="str">
        <f>'Set up'!B18</f>
        <v>Abbott M2000 RealTime</v>
      </c>
      <c r="C8" s="334">
        <f>IFERROR(SUM(C$55:C$68)/3,"")</f>
        <v>0.27758970898597352</v>
      </c>
      <c r="D8" s="350">
        <f>IFERROR(($I$32/'Set up'!$D18)/3,"")</f>
        <v>0.25558801117602242</v>
      </c>
      <c r="E8" s="357">
        <f>IFERROR(SUM(C74:C83),"")</f>
        <v>0</v>
      </c>
      <c r="F8" s="336">
        <f>SUM(C8:E8)</f>
        <v>0.53317772016199594</v>
      </c>
      <c r="G8" s="109"/>
      <c r="H8" s="119"/>
      <c r="I8" s="119"/>
      <c r="J8" s="119"/>
      <c r="K8" s="119"/>
      <c r="L8" s="119"/>
      <c r="M8" s="119"/>
      <c r="N8" s="119"/>
    </row>
    <row r="9" spans="1:49" s="112" customFormat="1" x14ac:dyDescent="0.25">
      <c r="B9" s="219" t="str">
        <f>'Set up'!B19</f>
        <v>Abbott M2000 RealTime</v>
      </c>
      <c r="C9" s="334">
        <f>IFERROR(SUM(C$55:C$68)/3,"")</f>
        <v>0.27758970898597352</v>
      </c>
      <c r="D9" s="350">
        <f>IFERROR(($I$32/'Set up'!$D19)/3,"")</f>
        <v>0.25558801117602242</v>
      </c>
      <c r="E9" s="357">
        <f>IFERROR(SUM(D74:D83),"")</f>
        <v>0</v>
      </c>
      <c r="F9" s="336">
        <f t="shared" ref="F9:F11" si="0">SUM(C9:E9)</f>
        <v>0.53317772016199594</v>
      </c>
      <c r="G9" s="109"/>
      <c r="H9" s="119"/>
      <c r="I9" s="119"/>
      <c r="J9" s="119"/>
      <c r="K9" s="119"/>
      <c r="L9" s="119"/>
      <c r="M9" s="119"/>
      <c r="N9" s="119"/>
    </row>
    <row r="10" spans="1:49" s="112" customFormat="1" x14ac:dyDescent="0.25">
      <c r="B10" s="219" t="str">
        <f>'Set up'!B20</f>
        <v>Roche COBAS Ampliprep/TaqMan 48</v>
      </c>
      <c r="C10" s="334">
        <f>IFERROR(SUM(C$55:C$68)/3,"")</f>
        <v>0.27758970898597352</v>
      </c>
      <c r="D10" s="350">
        <f>IFERROR(($I$32/'Set up'!$D20)/3,"")</f>
        <v>0.28297244094488194</v>
      </c>
      <c r="E10" s="357">
        <f>IFERROR(SUM(E74:E83),"")</f>
        <v>0</v>
      </c>
      <c r="F10" s="336">
        <f t="shared" si="0"/>
        <v>0.56056214993085551</v>
      </c>
      <c r="G10" s="111"/>
      <c r="H10" s="119"/>
      <c r="I10" s="119"/>
      <c r="J10" s="119"/>
      <c r="K10" s="119"/>
      <c r="L10" s="119"/>
      <c r="M10" s="119"/>
      <c r="N10" s="119"/>
    </row>
    <row r="11" spans="1:49" s="112" customFormat="1" x14ac:dyDescent="0.25">
      <c r="B11" s="219" t="str">
        <f>'Set up'!B21</f>
        <v>Roche COBAS Ampliprep/TaqMan 48</v>
      </c>
      <c r="C11" s="334">
        <f>IFERROR(SUM(C$55:C$68)/3,"")</f>
        <v>0.27758970898597352</v>
      </c>
      <c r="D11" s="350">
        <f>IFERROR(($I$32/'Set up'!$D21)/3,"")</f>
        <v>0.28297244094488194</v>
      </c>
      <c r="E11" s="357">
        <f>IFERROR(SUM(F74:F83),"")</f>
        <v>0</v>
      </c>
      <c r="F11" s="336">
        <f t="shared" si="0"/>
        <v>0.56056214993085551</v>
      </c>
      <c r="G11" s="111"/>
      <c r="H11" s="119"/>
      <c r="I11" s="119"/>
      <c r="J11" s="119"/>
      <c r="K11" s="119"/>
      <c r="L11" s="119"/>
      <c r="M11" s="119"/>
      <c r="N11" s="119"/>
    </row>
    <row r="12" spans="1:49" s="112" customFormat="1" x14ac:dyDescent="0.25">
      <c r="B12" s="260"/>
      <c r="C12" s="261"/>
      <c r="D12" s="262"/>
      <c r="E12" s="263"/>
      <c r="F12" s="264"/>
      <c r="G12" s="265"/>
      <c r="H12" s="111"/>
      <c r="I12" s="119"/>
      <c r="J12" s="119"/>
      <c r="K12" s="119"/>
      <c r="L12" s="119"/>
      <c r="M12" s="119"/>
      <c r="N12" s="119"/>
      <c r="O12" s="119"/>
    </row>
    <row r="13" spans="1:49" s="112" customFormat="1" ht="21.6" customHeight="1" x14ac:dyDescent="0.25">
      <c r="B13" s="445" t="s">
        <v>326</v>
      </c>
      <c r="C13" s="445"/>
      <c r="D13" s="445"/>
      <c r="E13" s="445"/>
      <c r="F13" s="445"/>
      <c r="G13" s="445"/>
      <c r="H13" s="445"/>
      <c r="I13" s="445"/>
      <c r="J13" s="164"/>
      <c r="K13" s="164"/>
      <c r="L13" s="164"/>
      <c r="M13" s="119"/>
      <c r="N13" s="119"/>
      <c r="O13" s="119"/>
    </row>
    <row r="14" spans="1:49" s="112" customFormat="1" x14ac:dyDescent="0.25">
      <c r="B14" s="120"/>
      <c r="C14" s="120"/>
      <c r="D14" s="230"/>
      <c r="E14" s="230"/>
      <c r="F14" s="230"/>
      <c r="G14" s="230"/>
      <c r="H14" s="230"/>
      <c r="I14" s="230"/>
      <c r="J14" s="231"/>
      <c r="K14" s="231"/>
      <c r="L14" s="231"/>
      <c r="M14" s="119"/>
      <c r="N14" s="119"/>
      <c r="O14" s="119"/>
    </row>
    <row r="15" spans="1:49" s="112" customFormat="1" ht="15.75" thickBot="1" x14ac:dyDescent="0.3">
      <c r="B15" s="446" t="s">
        <v>327</v>
      </c>
      <c r="C15" s="446"/>
      <c r="D15" s="446"/>
      <c r="E15" s="446"/>
      <c r="F15" s="446"/>
      <c r="G15" s="232"/>
      <c r="H15" s="232"/>
      <c r="I15" s="194"/>
      <c r="J15" s="194"/>
      <c r="K15" s="194"/>
      <c r="L15" s="194"/>
      <c r="M15" s="119"/>
      <c r="N15" s="119"/>
      <c r="O15" s="119"/>
    </row>
    <row r="16" spans="1:49" s="112" customFormat="1" ht="45.6" customHeight="1" x14ac:dyDescent="0.25">
      <c r="B16" s="233" t="s">
        <v>328</v>
      </c>
      <c r="C16" s="246" t="s">
        <v>363</v>
      </c>
      <c r="D16" s="246" t="s">
        <v>364</v>
      </c>
      <c r="E16" s="246" t="s">
        <v>365</v>
      </c>
      <c r="F16" s="246" t="s">
        <v>366</v>
      </c>
      <c r="G16" s="246" t="s">
        <v>367</v>
      </c>
      <c r="H16" s="266" t="s">
        <v>368</v>
      </c>
      <c r="I16" s="266" t="s">
        <v>369</v>
      </c>
      <c r="J16" s="267"/>
      <c r="K16" s="267"/>
      <c r="L16" s="267"/>
      <c r="M16" s="119"/>
      <c r="N16" s="119"/>
      <c r="O16" s="119"/>
    </row>
    <row r="17" spans="2:15" s="112" customFormat="1" x14ac:dyDescent="0.25">
      <c r="B17" s="235" t="s">
        <v>329</v>
      </c>
      <c r="C17" s="268" t="s">
        <v>341</v>
      </c>
      <c r="D17" s="257">
        <v>0</v>
      </c>
      <c r="E17" s="269">
        <v>4</v>
      </c>
      <c r="F17" s="159">
        <v>60000</v>
      </c>
      <c r="G17" s="359">
        <f>F17*D17</f>
        <v>0</v>
      </c>
      <c r="H17" s="360">
        <f>G17/'Set up'!$C$9</f>
        <v>0</v>
      </c>
      <c r="I17" s="360">
        <f>H17/E17</f>
        <v>0</v>
      </c>
      <c r="J17" s="270"/>
      <c r="K17" s="270"/>
      <c r="L17" s="270"/>
      <c r="M17" s="119"/>
      <c r="N17" s="119"/>
      <c r="O17" s="119"/>
    </row>
    <row r="18" spans="2:15" s="112" customFormat="1" x14ac:dyDescent="0.25">
      <c r="B18" s="235" t="s">
        <v>330</v>
      </c>
      <c r="C18" s="268" t="s">
        <v>176</v>
      </c>
      <c r="D18" s="257">
        <v>0</v>
      </c>
      <c r="E18" s="269">
        <v>4</v>
      </c>
      <c r="F18" s="159">
        <v>60000</v>
      </c>
      <c r="G18" s="359">
        <f t="shared" ref="G18:G27" si="1">F18*D18</f>
        <v>0</v>
      </c>
      <c r="H18" s="360">
        <f>G18/'Set up'!$C$9</f>
        <v>0</v>
      </c>
      <c r="I18" s="360">
        <f t="shared" ref="I18:I27" si="2">H18/E18</f>
        <v>0</v>
      </c>
      <c r="J18" s="270"/>
      <c r="K18" s="270"/>
      <c r="L18" s="270"/>
      <c r="M18" s="119"/>
      <c r="N18" s="119"/>
      <c r="O18" s="119"/>
    </row>
    <row r="19" spans="2:15" s="112" customFormat="1" x14ac:dyDescent="0.25">
      <c r="B19" s="235" t="s">
        <v>331</v>
      </c>
      <c r="C19" s="268" t="s">
        <v>341</v>
      </c>
      <c r="D19" s="257">
        <v>0</v>
      </c>
      <c r="E19" s="269">
        <v>4</v>
      </c>
      <c r="F19" s="159">
        <v>60000</v>
      </c>
      <c r="G19" s="359">
        <f t="shared" si="1"/>
        <v>0</v>
      </c>
      <c r="H19" s="360">
        <f>G19/'Set up'!$C$9</f>
        <v>0</v>
      </c>
      <c r="I19" s="360">
        <f t="shared" si="2"/>
        <v>0</v>
      </c>
      <c r="J19" s="270"/>
      <c r="K19" s="270"/>
      <c r="L19" s="270"/>
      <c r="M19" s="119"/>
      <c r="N19" s="119"/>
      <c r="O19" s="119"/>
    </row>
    <row r="20" spans="2:15" s="112" customFormat="1" x14ac:dyDescent="0.25">
      <c r="B20" s="235" t="s">
        <v>332</v>
      </c>
      <c r="C20" s="268" t="s">
        <v>341</v>
      </c>
      <c r="D20" s="257">
        <v>0</v>
      </c>
      <c r="E20" s="269">
        <v>4</v>
      </c>
      <c r="F20" s="159">
        <v>60000</v>
      </c>
      <c r="G20" s="359">
        <f t="shared" si="1"/>
        <v>0</v>
      </c>
      <c r="H20" s="360">
        <f>G20/'Set up'!$C$9</f>
        <v>0</v>
      </c>
      <c r="I20" s="360">
        <f t="shared" si="2"/>
        <v>0</v>
      </c>
      <c r="J20" s="270"/>
      <c r="K20" s="270"/>
      <c r="L20" s="270"/>
      <c r="M20" s="119"/>
      <c r="N20" s="119"/>
      <c r="O20" s="119"/>
    </row>
    <row r="21" spans="2:15" s="112" customFormat="1" x14ac:dyDescent="0.25">
      <c r="B21" s="235" t="s">
        <v>333</v>
      </c>
      <c r="C21" s="268" t="s">
        <v>341</v>
      </c>
      <c r="D21" s="257">
        <v>0</v>
      </c>
      <c r="E21" s="269">
        <v>4</v>
      </c>
      <c r="F21" s="159">
        <v>60000</v>
      </c>
      <c r="G21" s="359">
        <f t="shared" si="1"/>
        <v>0</v>
      </c>
      <c r="H21" s="360">
        <f>G21/'Set up'!$C$9</f>
        <v>0</v>
      </c>
      <c r="I21" s="360">
        <f t="shared" si="2"/>
        <v>0</v>
      </c>
      <c r="J21" s="270"/>
      <c r="K21" s="270"/>
      <c r="L21" s="270"/>
      <c r="M21" s="119"/>
      <c r="N21" s="119"/>
      <c r="O21" s="119"/>
    </row>
    <row r="22" spans="2:15" s="112" customFormat="1" x14ac:dyDescent="0.25">
      <c r="B22" s="235" t="s">
        <v>334</v>
      </c>
      <c r="C22" s="268" t="s">
        <v>176</v>
      </c>
      <c r="D22" s="257">
        <v>63</v>
      </c>
      <c r="E22" s="269">
        <v>4</v>
      </c>
      <c r="F22" s="159">
        <v>60000</v>
      </c>
      <c r="G22" s="359">
        <f t="shared" si="1"/>
        <v>3780000</v>
      </c>
      <c r="H22" s="360">
        <f>G22/'Set up'!$C$9</f>
        <v>37204.72440944882</v>
      </c>
      <c r="I22" s="360">
        <f t="shared" si="2"/>
        <v>9301.1811023622049</v>
      </c>
      <c r="J22" s="270"/>
      <c r="K22" s="270"/>
      <c r="L22" s="270"/>
      <c r="M22" s="119"/>
      <c r="N22" s="119"/>
      <c r="O22" s="119"/>
    </row>
    <row r="23" spans="2:15" s="112" customFormat="1" x14ac:dyDescent="0.25">
      <c r="B23" s="235" t="s">
        <v>335</v>
      </c>
      <c r="C23" s="268" t="s">
        <v>176</v>
      </c>
      <c r="D23" s="257">
        <v>21</v>
      </c>
      <c r="E23" s="269">
        <v>4</v>
      </c>
      <c r="F23" s="159">
        <v>150000</v>
      </c>
      <c r="G23" s="359">
        <f t="shared" si="1"/>
        <v>3150000</v>
      </c>
      <c r="H23" s="360">
        <f>G23/'Set up'!$C$9</f>
        <v>31003.937007874018</v>
      </c>
      <c r="I23" s="360">
        <f t="shared" si="2"/>
        <v>7750.9842519685044</v>
      </c>
      <c r="J23" s="270"/>
      <c r="K23" s="270"/>
      <c r="L23" s="270"/>
      <c r="M23" s="119"/>
      <c r="N23" s="119"/>
      <c r="O23" s="119"/>
    </row>
    <row r="24" spans="2:15" s="112" customFormat="1" x14ac:dyDescent="0.25">
      <c r="B24" s="235" t="s">
        <v>336</v>
      </c>
      <c r="C24" s="268" t="s">
        <v>341</v>
      </c>
      <c r="D24" s="257">
        <v>63</v>
      </c>
      <c r="E24" s="269">
        <v>4</v>
      </c>
      <c r="F24" s="159">
        <v>60000</v>
      </c>
      <c r="G24" s="359">
        <f t="shared" si="1"/>
        <v>3780000</v>
      </c>
      <c r="H24" s="360">
        <f>G24/'Set up'!$C$9</f>
        <v>37204.72440944882</v>
      </c>
      <c r="I24" s="360">
        <f t="shared" si="2"/>
        <v>9301.1811023622049</v>
      </c>
      <c r="J24" s="270"/>
      <c r="K24" s="270"/>
      <c r="L24" s="270"/>
      <c r="M24" s="119"/>
      <c r="N24" s="119"/>
      <c r="O24" s="119"/>
    </row>
    <row r="25" spans="2:15" s="112" customFormat="1" x14ac:dyDescent="0.25">
      <c r="B25" s="235" t="s">
        <v>337</v>
      </c>
      <c r="C25" s="268" t="s">
        <v>341</v>
      </c>
      <c r="D25" s="257">
        <v>0</v>
      </c>
      <c r="E25" s="269">
        <v>4</v>
      </c>
      <c r="F25" s="159">
        <v>60000</v>
      </c>
      <c r="G25" s="359">
        <f t="shared" si="1"/>
        <v>0</v>
      </c>
      <c r="H25" s="360">
        <f>G25/'Set up'!$C$9</f>
        <v>0</v>
      </c>
      <c r="I25" s="360">
        <f t="shared" si="2"/>
        <v>0</v>
      </c>
      <c r="J25" s="270"/>
      <c r="K25" s="270"/>
      <c r="L25" s="270"/>
      <c r="M25" s="119"/>
      <c r="N25" s="119"/>
      <c r="O25" s="119"/>
    </row>
    <row r="26" spans="2:15" s="112" customFormat="1" x14ac:dyDescent="0.25">
      <c r="B26" s="235" t="s">
        <v>338</v>
      </c>
      <c r="C26" s="268" t="s">
        <v>176</v>
      </c>
      <c r="D26" s="257">
        <v>63</v>
      </c>
      <c r="E26" s="269">
        <v>4</v>
      </c>
      <c r="F26" s="159">
        <v>60000</v>
      </c>
      <c r="G26" s="359">
        <f t="shared" si="1"/>
        <v>3780000</v>
      </c>
      <c r="H26" s="360">
        <f>G26/'Set up'!$C$9</f>
        <v>37204.72440944882</v>
      </c>
      <c r="I26" s="360">
        <f t="shared" si="2"/>
        <v>9301.1811023622049</v>
      </c>
      <c r="J26" s="270"/>
      <c r="K26" s="270"/>
      <c r="L26" s="270"/>
      <c r="M26" s="119"/>
      <c r="N26" s="119"/>
      <c r="O26" s="119"/>
    </row>
    <row r="27" spans="2:15" s="112" customFormat="1" x14ac:dyDescent="0.25">
      <c r="B27" s="235" t="s">
        <v>339</v>
      </c>
      <c r="C27" s="268" t="s">
        <v>176</v>
      </c>
      <c r="D27" s="257">
        <v>0</v>
      </c>
      <c r="E27" s="269">
        <v>4</v>
      </c>
      <c r="F27" s="159">
        <v>60000</v>
      </c>
      <c r="G27" s="359">
        <f t="shared" si="1"/>
        <v>0</v>
      </c>
      <c r="H27" s="360">
        <f>G27/'Set up'!$C$9</f>
        <v>0</v>
      </c>
      <c r="I27" s="360">
        <f t="shared" si="2"/>
        <v>0</v>
      </c>
      <c r="J27" s="270"/>
      <c r="K27" s="270"/>
      <c r="L27" s="270"/>
      <c r="M27" s="119"/>
      <c r="N27" s="119"/>
      <c r="O27" s="119"/>
    </row>
    <row r="28" spans="2:15" s="112" customFormat="1" x14ac:dyDescent="0.25">
      <c r="B28" s="235" t="s">
        <v>86</v>
      </c>
      <c r="C28" s="268"/>
      <c r="D28" s="257"/>
      <c r="E28" s="268"/>
      <c r="F28" s="257"/>
      <c r="G28" s="359"/>
      <c r="H28" s="360">
        <f>G28/'Set up'!$C$9</f>
        <v>0</v>
      </c>
      <c r="I28" s="360"/>
      <c r="J28" s="270"/>
      <c r="K28" s="270"/>
      <c r="L28" s="270"/>
      <c r="M28" s="119"/>
      <c r="N28" s="119"/>
      <c r="O28" s="119"/>
    </row>
    <row r="29" spans="2:15" s="112" customFormat="1" x14ac:dyDescent="0.25">
      <c r="B29" s="235" t="s">
        <v>86</v>
      </c>
      <c r="C29" s="268"/>
      <c r="D29" s="257"/>
      <c r="E29" s="268"/>
      <c r="F29" s="257"/>
      <c r="G29" s="359"/>
      <c r="H29" s="360">
        <f>G29/'Set up'!$C$9</f>
        <v>0</v>
      </c>
      <c r="I29" s="360"/>
      <c r="J29" s="270"/>
      <c r="K29" s="270"/>
      <c r="L29" s="270"/>
      <c r="M29" s="119"/>
      <c r="N29" s="119"/>
      <c r="O29" s="119"/>
    </row>
    <row r="30" spans="2:15" s="112" customFormat="1" x14ac:dyDescent="0.25">
      <c r="B30" s="235" t="s">
        <v>86</v>
      </c>
      <c r="C30" s="268"/>
      <c r="D30" s="257"/>
      <c r="E30" s="268"/>
      <c r="F30" s="257"/>
      <c r="G30" s="359"/>
      <c r="H30" s="360">
        <f>G30/'Set up'!$C$9</f>
        <v>0</v>
      </c>
      <c r="I30" s="360"/>
      <c r="J30" s="270"/>
      <c r="K30" s="270"/>
      <c r="L30" s="270"/>
      <c r="M30" s="119"/>
      <c r="N30" s="119"/>
      <c r="O30" s="119"/>
    </row>
    <row r="31" spans="2:15" s="112" customFormat="1" x14ac:dyDescent="0.25">
      <c r="B31" s="235" t="s">
        <v>86</v>
      </c>
      <c r="C31" s="268"/>
      <c r="D31" s="257"/>
      <c r="E31" s="268"/>
      <c r="F31" s="257"/>
      <c r="G31" s="359"/>
      <c r="H31" s="360">
        <f>G31/'Set up'!$C$9</f>
        <v>0</v>
      </c>
      <c r="I31" s="360"/>
      <c r="J31" s="270"/>
      <c r="K31" s="270"/>
      <c r="L31" s="270"/>
      <c r="M31" s="119"/>
      <c r="N31" s="119"/>
      <c r="O31" s="119"/>
    </row>
    <row r="32" spans="2:15" s="112" customFormat="1" x14ac:dyDescent="0.25">
      <c r="B32" s="271" t="s">
        <v>346</v>
      </c>
      <c r="C32" s="272"/>
      <c r="D32" s="272"/>
      <c r="E32" s="272"/>
      <c r="F32" s="272"/>
      <c r="G32" s="361"/>
      <c r="H32" s="362"/>
      <c r="I32" s="363">
        <f>SUM(I17:I31)</f>
        <v>35654.527559055125</v>
      </c>
      <c r="J32" s="270"/>
      <c r="K32" s="270"/>
      <c r="L32" s="270"/>
      <c r="M32" s="119"/>
      <c r="N32" s="119"/>
      <c r="O32" s="119"/>
    </row>
    <row r="33" spans="1:40" s="112" customFormat="1" x14ac:dyDescent="0.25">
      <c r="B33" s="260"/>
      <c r="C33" s="261"/>
      <c r="D33" s="262"/>
      <c r="E33" s="263"/>
      <c r="F33" s="264"/>
      <c r="G33" s="265"/>
      <c r="H33" s="111"/>
      <c r="I33" s="119"/>
      <c r="J33" s="119"/>
      <c r="K33" s="119"/>
      <c r="L33" s="119"/>
      <c r="M33" s="119"/>
      <c r="N33" s="119"/>
      <c r="O33" s="119"/>
    </row>
    <row r="34" spans="1:40" s="112" customFormat="1" x14ac:dyDescent="0.25">
      <c r="B34" s="211"/>
      <c r="C34" s="211"/>
      <c r="D34" s="211"/>
      <c r="E34" s="220"/>
      <c r="F34" s="111"/>
      <c r="G34" s="111"/>
      <c r="H34" s="111"/>
      <c r="I34" s="111"/>
      <c r="J34" s="119"/>
      <c r="K34" s="119"/>
      <c r="L34" s="119"/>
      <c r="M34" s="119"/>
      <c r="N34" s="119"/>
      <c r="O34" s="119"/>
      <c r="P34" s="119"/>
    </row>
    <row r="35" spans="1:40" s="112" customFormat="1" ht="20.45" customHeight="1" x14ac:dyDescent="0.25">
      <c r="B35" s="445" t="s">
        <v>72</v>
      </c>
      <c r="C35" s="445"/>
      <c r="D35" s="445"/>
      <c r="E35" s="445"/>
      <c r="F35" s="445"/>
      <c r="G35" s="445"/>
      <c r="H35" s="445"/>
      <c r="I35" s="445"/>
      <c r="J35" s="445"/>
      <c r="K35" s="445"/>
      <c r="L35" s="445"/>
      <c r="M35" s="207"/>
      <c r="N35" s="207"/>
      <c r="O35" s="207"/>
      <c r="P35" s="207"/>
    </row>
    <row r="36" spans="1:40" s="112" customFormat="1" x14ac:dyDescent="0.25">
      <c r="B36" s="211"/>
      <c r="C36" s="211"/>
      <c r="D36" s="211"/>
      <c r="E36" s="220"/>
      <c r="F36" s="111"/>
      <c r="G36" s="111"/>
      <c r="H36" s="111"/>
      <c r="I36" s="111"/>
      <c r="J36" s="119"/>
      <c r="K36" s="119"/>
      <c r="L36" s="119"/>
      <c r="M36" s="119"/>
      <c r="N36" s="119"/>
      <c r="O36" s="119"/>
      <c r="P36" s="119"/>
    </row>
    <row r="37" spans="1:40" s="112" customFormat="1" x14ac:dyDescent="0.25">
      <c r="B37" s="221" t="s">
        <v>343</v>
      </c>
      <c r="C37" s="222"/>
      <c r="D37" s="223"/>
      <c r="E37" s="223"/>
      <c r="H37" s="465"/>
      <c r="I37" s="465"/>
      <c r="J37" s="465"/>
      <c r="K37" s="465"/>
      <c r="L37" s="465"/>
      <c r="M37" s="447"/>
      <c r="N37" s="447"/>
    </row>
    <row r="38" spans="1:40" s="228" customFormat="1" ht="45.6" customHeight="1" x14ac:dyDescent="0.25">
      <c r="A38" s="224"/>
      <c r="B38" s="225" t="s">
        <v>319</v>
      </c>
      <c r="C38" s="245" t="str">
        <f>'Set up'!B18</f>
        <v>Abbott M2000 RealTime</v>
      </c>
      <c r="D38" s="245" t="str">
        <f>'Set up'!B19</f>
        <v>Abbott M2000 RealTime</v>
      </c>
      <c r="E38" s="245" t="str">
        <f>'Set up'!B20</f>
        <v>Roche COBAS Ampliprep/TaqMan 48</v>
      </c>
      <c r="F38" s="245" t="str">
        <f>'Set up'!B21</f>
        <v>Roche COBAS Ampliprep/TaqMan 48</v>
      </c>
      <c r="G38" s="227"/>
      <c r="H38" s="227"/>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row>
    <row r="39" spans="1:40" x14ac:dyDescent="0.25">
      <c r="B39" s="62" t="s">
        <v>20</v>
      </c>
      <c r="C39" s="57">
        <v>960</v>
      </c>
      <c r="D39" s="57">
        <v>960</v>
      </c>
      <c r="E39" s="57">
        <v>960</v>
      </c>
      <c r="F39" s="57">
        <v>960</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row>
    <row r="40" spans="1:40" x14ac:dyDescent="0.25">
      <c r="B40" s="62" t="s">
        <v>23</v>
      </c>
      <c r="C40" s="57">
        <v>960</v>
      </c>
      <c r="D40" s="57">
        <v>960</v>
      </c>
      <c r="E40" s="57">
        <v>960</v>
      </c>
      <c r="F40" s="57">
        <v>960</v>
      </c>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row>
    <row r="41" spans="1:40" x14ac:dyDescent="0.25">
      <c r="B41" s="62" t="s">
        <v>17</v>
      </c>
      <c r="C41" s="57">
        <v>960</v>
      </c>
      <c r="D41" s="57">
        <v>960</v>
      </c>
      <c r="E41" s="57">
        <v>960</v>
      </c>
      <c r="F41" s="57">
        <v>960</v>
      </c>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row>
    <row r="42" spans="1:40" x14ac:dyDescent="0.25">
      <c r="B42" s="62" t="s">
        <v>24</v>
      </c>
      <c r="C42" s="57">
        <v>960</v>
      </c>
      <c r="D42" s="57">
        <v>960</v>
      </c>
      <c r="E42" s="57">
        <v>960</v>
      </c>
      <c r="F42" s="57">
        <v>960</v>
      </c>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row>
    <row r="43" spans="1:40" x14ac:dyDescent="0.25">
      <c r="B43" s="62" t="s">
        <v>13</v>
      </c>
      <c r="C43" s="57">
        <v>960</v>
      </c>
      <c r="D43" s="57">
        <v>960</v>
      </c>
      <c r="E43" s="57">
        <v>960</v>
      </c>
      <c r="F43" s="57">
        <v>960</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row>
    <row r="44" spans="1:40" x14ac:dyDescent="0.25">
      <c r="B44" s="62"/>
      <c r="C44" s="57"/>
      <c r="D44" s="57"/>
      <c r="E44" s="57"/>
      <c r="F44" s="57"/>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row>
    <row r="45" spans="1:40" x14ac:dyDescent="0.25">
      <c r="B45" s="62"/>
      <c r="C45" s="57"/>
      <c r="D45" s="57"/>
      <c r="E45" s="57"/>
      <c r="F45" s="57"/>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row>
    <row r="46" spans="1:40" x14ac:dyDescent="0.25">
      <c r="B46" s="62"/>
      <c r="C46" s="57"/>
      <c r="D46" s="57"/>
      <c r="E46" s="57"/>
      <c r="F46" s="57"/>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row>
    <row r="47" spans="1:40" x14ac:dyDescent="0.25">
      <c r="B47" s="62"/>
      <c r="C47" s="57"/>
      <c r="D47" s="57"/>
      <c r="E47" s="57"/>
      <c r="F47" s="57"/>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1:40" x14ac:dyDescent="0.25">
      <c r="B48" s="62"/>
      <c r="C48" s="57"/>
      <c r="D48" s="57"/>
      <c r="E48" s="57"/>
      <c r="F48" s="57"/>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2:40" x14ac:dyDescent="0.25">
      <c r="B49" s="62" t="s">
        <v>100</v>
      </c>
      <c r="C49" s="57"/>
      <c r="D49" s="11"/>
      <c r="E49" s="57"/>
      <c r="F49" s="11"/>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row>
    <row r="50" spans="2:40" x14ac:dyDescent="0.25">
      <c r="B50" s="62" t="s">
        <v>100</v>
      </c>
      <c r="C50" s="57"/>
      <c r="D50" s="11"/>
      <c r="E50" s="57"/>
      <c r="F50" s="11"/>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row>
    <row r="51" spans="2:40" x14ac:dyDescent="0.25">
      <c r="B51" s="62" t="s">
        <v>100</v>
      </c>
      <c r="C51" s="57"/>
      <c r="D51" s="11"/>
      <c r="E51" s="57"/>
      <c r="F51" s="11"/>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row>
    <row r="52" spans="2:40" x14ac:dyDescent="0.25">
      <c r="B52" s="62" t="s">
        <v>100</v>
      </c>
      <c r="C52" s="57"/>
      <c r="D52" s="11"/>
      <c r="E52" s="57"/>
      <c r="F52" s="11"/>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row>
    <row r="53" spans="2:40" x14ac:dyDescent="0.25">
      <c r="B53" s="55"/>
      <c r="C53" s="56"/>
      <c r="D53" s="56"/>
      <c r="E53" s="56"/>
      <c r="F53" s="56"/>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row>
    <row r="54" spans="2:40" x14ac:dyDescent="0.25">
      <c r="B54" s="221" t="s">
        <v>506</v>
      </c>
      <c r="C54" s="56"/>
      <c r="D54" s="56"/>
      <c r="E54" s="56"/>
      <c r="F54" s="56"/>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row>
    <row r="55" spans="2:40" x14ac:dyDescent="0.25">
      <c r="B55" s="10" t="str">
        <f>B39</f>
        <v>Lab technologist</v>
      </c>
      <c r="C55" s="340">
        <f>IFERROR((((VLOOKUP($B55,'Unit costs'!$B$25:$I$66,8,FALSE))*$C39/'Set up'!$D$18)),"")</f>
        <v>0.16048308250783169</v>
      </c>
      <c r="D55" s="340">
        <f>IFERROR((((VLOOKUP($B55,'Unit costs'!$B$25:$I$66,8,FALSE))*$D39/'Set up'!$D$19)),"")</f>
        <v>0.16048308250783169</v>
      </c>
      <c r="E55" s="340">
        <f>IFERROR((((VLOOKUP($B55,'Unit costs'!$B$25:$I$66,8,FALSE))*$E39/'Set up'!$D$20)),"")</f>
        <v>0.17767769849081366</v>
      </c>
      <c r="F55" s="340">
        <f>IFERROR((((VLOOKUP($B55,'Unit costs'!$B$25:$I$66,8,FALSE))*$F39/'Set up'!$D$21)),"")</f>
        <v>0.17767769849081366</v>
      </c>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row>
    <row r="56" spans="2:40" x14ac:dyDescent="0.25">
      <c r="B56" s="10" t="str">
        <f>B40</f>
        <v>Assistant Research Officer</v>
      </c>
      <c r="C56" s="340">
        <f>IFERROR((((VLOOKUP($B56,'Unit costs'!$B$25:$I$66,8,FALSE))*$C40/'Set up'!$D$18)),"")</f>
        <v>0.19596618279569891</v>
      </c>
      <c r="D56" s="340">
        <f>IFERROR((((VLOOKUP($B56,'Unit costs'!$B$25:$I$66,8,FALSE))*$D40/'Set up'!$D$19)),"")</f>
        <v>0.19596618279569891</v>
      </c>
      <c r="E56" s="340">
        <f>IFERROR((((VLOOKUP($B56,'Unit costs'!$B$25:$I$66,8,FALSE))*$E40/'Set up'!$D$20)),"")</f>
        <v>0.21696255952380952</v>
      </c>
      <c r="F56" s="340">
        <f>IFERROR((((VLOOKUP($B56,'Unit costs'!$B$25:$I$66,8,FALSE))*$F40/'Set up'!$D$21)),"")</f>
        <v>0.21696255952380952</v>
      </c>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row>
    <row r="57" spans="2:40" x14ac:dyDescent="0.25">
      <c r="B57" s="10" t="str">
        <f>B41</f>
        <v>Nurse assistant</v>
      </c>
      <c r="C57" s="340">
        <f>IFERROR((((VLOOKUP($B57,'Unit costs'!$B$25:$I$66,8,FALSE))*$C41/'Set up'!$D$18)),"")</f>
        <v>4.8991516129032263E-2</v>
      </c>
      <c r="D57" s="340">
        <f>IFERROR((((VLOOKUP($B57,'Unit costs'!$B$25:$I$66,8,FALSE))*$D41/'Set up'!$D$19)),"")</f>
        <v>4.8991516129032263E-2</v>
      </c>
      <c r="E57" s="340">
        <f>IFERROR((((VLOOKUP($B57,'Unit costs'!$B$25:$I$66,8,FALSE))*$E41/'Set up'!$D$20)),"")</f>
        <v>5.4240607142857146E-2</v>
      </c>
      <c r="F57" s="340">
        <f>IFERROR((((VLOOKUP($B57,'Unit costs'!$B$25:$I$66,8,FALSE))*$F41/'Set up'!$D$21)),"")</f>
        <v>5.4240607142857146E-2</v>
      </c>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row>
    <row r="58" spans="2:40" x14ac:dyDescent="0.25">
      <c r="B58" s="10" t="str">
        <f>B42</f>
        <v>Program Managers</v>
      </c>
      <c r="C58" s="340">
        <f>IFERROR((((VLOOKUP($B58,'Unit costs'!$B$25:$I$66,8,FALSE))*$C42/'Set up'!$D$18)),"")</f>
        <v>0.33594201075268815</v>
      </c>
      <c r="D58" s="340">
        <f>IFERROR((((VLOOKUP($B58,'Unit costs'!$B$25:$I$66,8,FALSE))*$D42/'Set up'!$D$19)),"")</f>
        <v>0.33594201075268815</v>
      </c>
      <c r="E58" s="340">
        <f>IFERROR((((VLOOKUP($B58,'Unit costs'!$B$25:$I$66,8,FALSE))*$E42/'Set up'!$D$20)),"")</f>
        <v>0.37193579761904755</v>
      </c>
      <c r="F58" s="340">
        <f>IFERROR((((VLOOKUP($B58,'Unit costs'!$B$25:$I$66,8,FALSE))*$F42/'Set up'!$D$21)),"")</f>
        <v>0.37193579761904755</v>
      </c>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row>
    <row r="59" spans="2:40" x14ac:dyDescent="0.25">
      <c r="B59" s="10" t="str">
        <f t="shared" ref="B59:B68" si="3">B43</f>
        <v>Nurse</v>
      </c>
      <c r="C59" s="340">
        <f>IFERROR((((VLOOKUP($B59,'Unit costs'!$B$25:$I$66,8,FALSE))*$C43/'Set up'!$D$18)),"")</f>
        <v>9.1386334772669553E-2</v>
      </c>
      <c r="D59" s="340">
        <f>IFERROR((((VLOOKUP($B59,'Unit costs'!$B$25:$I$66,8,FALSE))*$D43/'Set up'!$D$19)),"")</f>
        <v>9.1386334772669553E-2</v>
      </c>
      <c r="E59" s="340">
        <f>IFERROR((((VLOOKUP($B59,'Unit costs'!$B$25:$I$66,8,FALSE))*$E43/'Set up'!$D$20)),"")</f>
        <v>0.10117772778402701</v>
      </c>
      <c r="F59" s="340">
        <f>IFERROR((((VLOOKUP($B59,'Unit costs'!$B$25:$I$66,8,FALSE))*$F43/'Set up'!$D$21)),"")</f>
        <v>0.10117772778402701</v>
      </c>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row>
    <row r="60" spans="2:40" x14ac:dyDescent="0.25">
      <c r="B60" s="10">
        <f t="shared" si="3"/>
        <v>0</v>
      </c>
      <c r="C60" s="340" t="str">
        <f>IFERROR((((VLOOKUP($B60,'Unit costs'!$B$25:$I$66,8,FALSE))*$C44/'Set up'!$D$18)),"")</f>
        <v/>
      </c>
      <c r="D60" s="340" t="str">
        <f>IFERROR((((VLOOKUP($B60,'Unit costs'!$B$25:$I$66,8,FALSE))*$D44/'Set up'!$D$19)),"")</f>
        <v/>
      </c>
      <c r="E60" s="340" t="str">
        <f>IFERROR((((VLOOKUP($B60,'Unit costs'!$B$25:$I$66,8,FALSE))*$E44/'Set up'!$D$20)),"")</f>
        <v/>
      </c>
      <c r="F60" s="340" t="str">
        <f>IFERROR((((VLOOKUP($B60,'Unit costs'!$B$25:$I$66,8,FALSE))*$F44/'Set up'!$D$21)),"")</f>
        <v/>
      </c>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row>
    <row r="61" spans="2:40" x14ac:dyDescent="0.25">
      <c r="B61" s="10">
        <f t="shared" si="3"/>
        <v>0</v>
      </c>
      <c r="C61" s="340" t="str">
        <f>IFERROR((((VLOOKUP($B61,'Unit costs'!$B$25:$I$66,8,FALSE))*$C45/'Set up'!$D$18)),"")</f>
        <v/>
      </c>
      <c r="D61" s="340" t="str">
        <f>IFERROR((((VLOOKUP($B61,'Unit costs'!$B$25:$I$66,8,FALSE))*$D45/'Set up'!$D$19)),"")</f>
        <v/>
      </c>
      <c r="E61" s="340" t="str">
        <f>IFERROR((((VLOOKUP($B61,'Unit costs'!$B$25:$I$66,8,FALSE))*$E45/'Set up'!$D$20)),"")</f>
        <v/>
      </c>
      <c r="F61" s="340" t="str">
        <f>IFERROR((((VLOOKUP($B61,'Unit costs'!$B$25:$I$66,8,FALSE))*$F45/'Set up'!$D$21)),"")</f>
        <v/>
      </c>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row>
    <row r="62" spans="2:40" x14ac:dyDescent="0.25">
      <c r="B62" s="10">
        <f t="shared" si="3"/>
        <v>0</v>
      </c>
      <c r="C62" s="340" t="str">
        <f>IFERROR((((VLOOKUP($B62,'Unit costs'!$B$25:$I$66,8,FALSE))*$C46/'Set up'!$D$18)),"")</f>
        <v/>
      </c>
      <c r="D62" s="340" t="str">
        <f>IFERROR((((VLOOKUP($B62,'Unit costs'!$B$25:$I$66,8,FALSE))*$D46/'Set up'!$D$19)),"")</f>
        <v/>
      </c>
      <c r="E62" s="340" t="str">
        <f>IFERROR((((VLOOKUP($B62,'Unit costs'!$B$25:$I$66,8,FALSE))*$E46/'Set up'!$D$20)),"")</f>
        <v/>
      </c>
      <c r="F62" s="340" t="str">
        <f>IFERROR((((VLOOKUP($B62,'Unit costs'!$B$25:$I$66,8,FALSE))*$F46/'Set up'!$D$21)),"")</f>
        <v/>
      </c>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row>
    <row r="63" spans="2:40" x14ac:dyDescent="0.25">
      <c r="B63" s="10">
        <f t="shared" si="3"/>
        <v>0</v>
      </c>
      <c r="C63" s="340" t="str">
        <f>IFERROR((((VLOOKUP($B63,'Unit costs'!$B$25:$I$66,8,FALSE))*$C47/'Set up'!$D$18)),"")</f>
        <v/>
      </c>
      <c r="D63" s="340" t="str">
        <f>IFERROR((((VLOOKUP($B63,'Unit costs'!$B$25:$I$66,8,FALSE))*$D47/'Set up'!$D$19)),"")</f>
        <v/>
      </c>
      <c r="E63" s="340" t="str">
        <f>IFERROR((((VLOOKUP($B63,'Unit costs'!$B$25:$I$66,8,FALSE))*$E47/'Set up'!$D$20)),"")</f>
        <v/>
      </c>
      <c r="F63" s="340" t="str">
        <f>IFERROR((((VLOOKUP($B63,'Unit costs'!$B$25:$I$66,8,FALSE))*$F47/'Set up'!$D$21)),"")</f>
        <v/>
      </c>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row>
    <row r="64" spans="2:40" x14ac:dyDescent="0.25">
      <c r="B64" s="10">
        <f t="shared" si="3"/>
        <v>0</v>
      </c>
      <c r="C64" s="340" t="str">
        <f>IFERROR((((VLOOKUP($B64,'Unit costs'!$B$25:$I$66,8,FALSE))*$C48/'Set up'!$D$18)),"")</f>
        <v/>
      </c>
      <c r="D64" s="340" t="str">
        <f>IFERROR((((VLOOKUP($B64,'Unit costs'!$B$25:$I$66,8,FALSE))*$D48/'Set up'!$D$19)),"")</f>
        <v/>
      </c>
      <c r="E64" s="340" t="str">
        <f>IFERROR((((VLOOKUP($B64,'Unit costs'!$B$25:$I$66,8,FALSE))*$E48/'Set up'!$D$20)),"")</f>
        <v/>
      </c>
      <c r="F64" s="340" t="str">
        <f>IFERROR((((VLOOKUP($B64,'Unit costs'!$B$25:$I$66,8,FALSE))*$F48/'Set up'!$D$21)),"")</f>
        <v/>
      </c>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row>
    <row r="65" spans="2:46" x14ac:dyDescent="0.25">
      <c r="B65" s="10" t="str">
        <f t="shared" si="3"/>
        <v>Other personnel</v>
      </c>
      <c r="C65" s="340">
        <f>IFERROR((((VLOOKUP($B65,'Unit costs'!$B$25:$I$66,8,FALSE))*$C49/'Set up'!$D$18)),"")</f>
        <v>0</v>
      </c>
      <c r="D65" s="340">
        <f>IFERROR((((VLOOKUP($B65,'Unit costs'!$B$25:$I$66,8,FALSE))*$D49/'Set up'!$D$19)),"")</f>
        <v>0</v>
      </c>
      <c r="E65" s="340">
        <f>IFERROR((((VLOOKUP($B65,'Unit costs'!$B$25:$I$66,8,FALSE))*$E49/'Set up'!$D$20)),"")</f>
        <v>0</v>
      </c>
      <c r="F65" s="340">
        <f>IFERROR((((VLOOKUP($B65,'Unit costs'!$B$25:$I$66,8,FALSE))*$F49/'Set up'!$D$21)),"")</f>
        <v>0</v>
      </c>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row>
    <row r="66" spans="2:46" x14ac:dyDescent="0.25">
      <c r="B66" s="10" t="str">
        <f t="shared" si="3"/>
        <v>Other personnel</v>
      </c>
      <c r="C66" s="340">
        <f>IFERROR((((VLOOKUP($B66,'Unit costs'!$B$25:$I$66,8,FALSE))*$C50/'Set up'!$D$18)),"")</f>
        <v>0</v>
      </c>
      <c r="D66" s="340">
        <f>IFERROR((((VLOOKUP($B66,'Unit costs'!$B$25:$I$66,8,FALSE))*$D50/'Set up'!$D$19)),"")</f>
        <v>0</v>
      </c>
      <c r="E66" s="340">
        <f>IFERROR((((VLOOKUP($B66,'Unit costs'!$B$25:$I$66,8,FALSE))*$E50/'Set up'!$D$20)),"")</f>
        <v>0</v>
      </c>
      <c r="F66" s="340">
        <f>IFERROR((((VLOOKUP($B66,'Unit costs'!$B$25:$I$66,8,FALSE))*$F50/'Set up'!$D$21)),"")</f>
        <v>0</v>
      </c>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row>
    <row r="67" spans="2:46" x14ac:dyDescent="0.25">
      <c r="B67" s="10" t="str">
        <f t="shared" si="3"/>
        <v>Other personnel</v>
      </c>
      <c r="C67" s="340">
        <f>IFERROR((((VLOOKUP($B67,'Unit costs'!$B$25:$I$66,8,FALSE))*$C51/'Set up'!$D$18)),"")</f>
        <v>0</v>
      </c>
      <c r="D67" s="340">
        <f>IFERROR((((VLOOKUP($B67,'Unit costs'!$B$25:$I$66,8,FALSE))*$D51/'Set up'!$D$19)),"")</f>
        <v>0</v>
      </c>
      <c r="E67" s="340">
        <f>IFERROR((((VLOOKUP($B67,'Unit costs'!$B$25:$I$66,8,FALSE))*$E51/'Set up'!$D$20)),"")</f>
        <v>0</v>
      </c>
      <c r="F67" s="340">
        <f>IFERROR((((VLOOKUP($B67,'Unit costs'!$B$25:$I$66,8,FALSE))*$F51/'Set up'!$D$21)),"")</f>
        <v>0</v>
      </c>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row>
    <row r="68" spans="2:46" x14ac:dyDescent="0.25">
      <c r="B68" s="10" t="str">
        <f t="shared" si="3"/>
        <v>Other personnel</v>
      </c>
      <c r="C68" s="340">
        <f>IFERROR((((VLOOKUP($B68,'Unit costs'!$B$25:$I$66,8,FALSE))*$C52/'Set up'!$D$18)),"")</f>
        <v>0</v>
      </c>
      <c r="D68" s="340">
        <f>IFERROR((((VLOOKUP($B68,'Unit costs'!$B$25:$I$66,8,FALSE))*$D52/'Set up'!$D$19)),"")</f>
        <v>0</v>
      </c>
      <c r="E68" s="340">
        <f>IFERROR((((VLOOKUP($B68,'Unit costs'!$B$25:$I$66,8,FALSE))*$E52/'Set up'!$D$20)),"")</f>
        <v>0</v>
      </c>
      <c r="F68" s="340">
        <f>IFERROR((((VLOOKUP($B68,'Unit costs'!$B$25:$I$66,8,FALSE))*$F52/'Set up'!$D$21)),"")</f>
        <v>0</v>
      </c>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row>
    <row r="69" spans="2:46" x14ac:dyDescent="0.25">
      <c r="B69" s="55"/>
      <c r="C69" s="56"/>
      <c r="D69" s="56"/>
      <c r="E69" s="56"/>
      <c r="F69" s="56"/>
      <c r="G69" s="56"/>
      <c r="H69" s="229"/>
      <c r="I69" s="229"/>
      <c r="J69" s="229"/>
      <c r="K69" s="229"/>
      <c r="L69" s="229"/>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row>
    <row r="71" spans="2:46" ht="21" customHeight="1" x14ac:dyDescent="0.25">
      <c r="B71" s="444" t="s">
        <v>75</v>
      </c>
      <c r="C71" s="444"/>
      <c r="D71" s="444"/>
      <c r="E71" s="444"/>
      <c r="F71" s="444"/>
      <c r="G71" s="444"/>
      <c r="H71" s="444"/>
      <c r="I71" s="444"/>
      <c r="J71" s="444"/>
      <c r="K71" s="444"/>
      <c r="L71" s="444"/>
      <c r="M71" s="164"/>
    </row>
    <row r="72" spans="2:46" s="158" customFormat="1" ht="15.75" thickBot="1" x14ac:dyDescent="0.3">
      <c r="B72" s="174"/>
      <c r="C72" s="174"/>
      <c r="D72" s="174"/>
      <c r="E72" s="174"/>
      <c r="F72" s="174"/>
      <c r="G72" s="174"/>
      <c r="H72" s="174"/>
      <c r="I72" s="174"/>
      <c r="J72" s="112"/>
      <c r="K72" s="112"/>
      <c r="L72" s="112"/>
    </row>
    <row r="73" spans="2:46" s="158" customFormat="1" ht="45" customHeight="1" thickBot="1" x14ac:dyDescent="0.3">
      <c r="B73" s="139" t="s">
        <v>97</v>
      </c>
      <c r="C73" s="247" t="str">
        <f>'Set up'!B18</f>
        <v>Abbott M2000 RealTime</v>
      </c>
      <c r="D73" s="248" t="str">
        <f>'Set up'!B19</f>
        <v>Abbott M2000 RealTime</v>
      </c>
      <c r="E73" s="248" t="str">
        <f>'Set up'!B20</f>
        <v>Roche COBAS Ampliprep/TaqMan 48</v>
      </c>
      <c r="F73" s="409" t="str">
        <f>'Set up'!B21</f>
        <v>Roche COBAS Ampliprep/TaqMan 48</v>
      </c>
    </row>
    <row r="74" spans="2:46" s="158" customFormat="1" x14ac:dyDescent="0.25">
      <c r="B74" s="244" t="s">
        <v>76</v>
      </c>
      <c r="C74" s="172" t="s">
        <v>531</v>
      </c>
      <c r="D74" s="172"/>
      <c r="E74" s="172"/>
      <c r="F74" s="172"/>
    </row>
    <row r="75" spans="2:46" s="158" customFormat="1" x14ac:dyDescent="0.25">
      <c r="B75" s="184" t="s">
        <v>77</v>
      </c>
      <c r="C75" s="144"/>
      <c r="D75" s="144"/>
      <c r="E75" s="144"/>
      <c r="F75" s="144"/>
    </row>
    <row r="76" spans="2:46" s="158" customFormat="1" x14ac:dyDescent="0.25">
      <c r="B76" s="184" t="s">
        <v>78</v>
      </c>
      <c r="C76" s="144"/>
      <c r="D76" s="144"/>
      <c r="E76" s="144"/>
      <c r="F76" s="144"/>
    </row>
    <row r="77" spans="2:46" s="158" customFormat="1" x14ac:dyDescent="0.25">
      <c r="B77" s="184" t="s">
        <v>79</v>
      </c>
      <c r="C77" s="144"/>
      <c r="D77" s="144"/>
      <c r="E77" s="144"/>
      <c r="F77" s="144"/>
    </row>
    <row r="78" spans="2:46" s="158" customFormat="1" x14ac:dyDescent="0.25">
      <c r="B78" s="184" t="s">
        <v>80</v>
      </c>
      <c r="C78" s="144"/>
      <c r="D78" s="144"/>
      <c r="E78" s="144"/>
      <c r="F78" s="144"/>
    </row>
    <row r="79" spans="2:46" s="158" customFormat="1" x14ac:dyDescent="0.25">
      <c r="B79" s="184" t="s">
        <v>81</v>
      </c>
      <c r="C79" s="144"/>
      <c r="D79" s="144"/>
      <c r="E79" s="144"/>
      <c r="F79" s="144"/>
    </row>
    <row r="80" spans="2:46" s="158" customFormat="1" x14ac:dyDescent="0.25">
      <c r="B80" s="184" t="s">
        <v>82</v>
      </c>
      <c r="C80" s="144"/>
      <c r="D80" s="144"/>
      <c r="E80" s="144"/>
      <c r="F80" s="144"/>
    </row>
    <row r="81" spans="2:12" s="158" customFormat="1" x14ac:dyDescent="0.25">
      <c r="B81" s="184" t="s">
        <v>83</v>
      </c>
      <c r="C81" s="144"/>
      <c r="D81" s="144"/>
      <c r="E81" s="144"/>
      <c r="F81" s="144"/>
    </row>
    <row r="82" spans="2:12" s="158" customFormat="1" x14ac:dyDescent="0.25">
      <c r="B82" s="184" t="s">
        <v>84</v>
      </c>
      <c r="C82" s="144"/>
      <c r="D82" s="144"/>
      <c r="E82" s="144"/>
      <c r="F82" s="144"/>
    </row>
    <row r="83" spans="2:12" s="158" customFormat="1" x14ac:dyDescent="0.25">
      <c r="B83" s="184" t="s">
        <v>85</v>
      </c>
      <c r="C83" s="144"/>
      <c r="D83" s="144"/>
      <c r="E83" s="144"/>
      <c r="F83" s="144"/>
    </row>
    <row r="84" spans="2:12" s="158" customFormat="1" x14ac:dyDescent="0.25"/>
    <row r="85" spans="2:12" s="158" customFormat="1" x14ac:dyDescent="0.25">
      <c r="B85" s="120"/>
      <c r="C85" s="120"/>
      <c r="D85" s="120"/>
      <c r="E85" s="120"/>
      <c r="F85" s="120"/>
      <c r="G85" s="120"/>
      <c r="H85" s="120"/>
      <c r="I85" s="120"/>
      <c r="J85" s="120"/>
      <c r="K85" s="120"/>
      <c r="L85" s="120"/>
    </row>
    <row r="86" spans="2:12" x14ac:dyDescent="0.25">
      <c r="B86" s="210" t="s">
        <v>347</v>
      </c>
    </row>
    <row r="87" spans="2:12" x14ac:dyDescent="0.25">
      <c r="B87" s="120" t="s">
        <v>351</v>
      </c>
    </row>
    <row r="88" spans="2:12" x14ac:dyDescent="0.25">
      <c r="B88" s="120" t="s">
        <v>348</v>
      </c>
    </row>
    <row r="89" spans="2:12" x14ac:dyDescent="0.25">
      <c r="B89" s="120" t="s">
        <v>349</v>
      </c>
    </row>
    <row r="90" spans="2:12" x14ac:dyDescent="0.25">
      <c r="B90" s="120" t="s">
        <v>350</v>
      </c>
    </row>
    <row r="91" spans="2:12" x14ac:dyDescent="0.25">
      <c r="B91" s="120" t="s">
        <v>523</v>
      </c>
    </row>
  </sheetData>
  <sheetProtection password="C441" sheet="1" objects="1" scenarios="1"/>
  <mergeCells count="11">
    <mergeCell ref="B71:L71"/>
    <mergeCell ref="B15:F15"/>
    <mergeCell ref="B13:I13"/>
    <mergeCell ref="B35:L35"/>
    <mergeCell ref="H37:N37"/>
    <mergeCell ref="B6:G6"/>
    <mergeCell ref="B1:D1"/>
    <mergeCell ref="E1:G1"/>
    <mergeCell ref="B2:D2"/>
    <mergeCell ref="B3:D3"/>
    <mergeCell ref="B4:D4"/>
  </mergeCells>
  <dataValidations count="2">
    <dataValidation type="list" allowBlank="1" showInputMessage="1" showErrorMessage="1" sqref="WVK983002:WVQ983002 IO38:IU38 SK38:SQ38 ACG38:ACM38 AMC38:AMI38 AVY38:AWE38 BFU38:BGA38 BPQ38:BPW38 BZM38:BZS38 CJI38:CJO38 CTE38:CTK38 DDA38:DDG38 DMW38:DNC38 DWS38:DWY38 EGO38:EGU38 EQK38:EQQ38 FAG38:FAM38 FKC38:FKI38 FTY38:FUE38 GDU38:GEA38 GNQ38:GNW38 GXM38:GXS38 HHI38:HHO38 HRE38:HRK38 IBA38:IBG38 IKW38:ILC38 IUS38:IUY38 JEO38:JEU38 JOK38:JOQ38 JYG38:JYM38 KIC38:KII38 KRY38:KSE38 LBU38:LCA38 LLQ38:LLW38 LVM38:LVS38 MFI38:MFO38 MPE38:MPK38 MZA38:MZG38 NIW38:NJC38 NSS38:NSY38 OCO38:OCU38 OMK38:OMQ38 OWG38:OWM38 PGC38:PGI38 PPY38:PQE38 PZU38:QAA38 QJQ38:QJW38 QTM38:QTS38 RDI38:RDO38 RNE38:RNK38 RXA38:RXG38 SGW38:SHC38 SQS38:SQY38 TAO38:TAU38 TKK38:TKQ38 TUG38:TUM38 UEC38:UEI38 UNY38:UOE38 UXU38:UYA38 VHQ38:VHW38 VRM38:VRS38 WBI38:WBO38 WLE38:WLK38 WVA38:WVG38 C65497:I65497 IY65498:JE65498 SU65498:TA65498 ACQ65498:ACW65498 AMM65498:AMS65498 AWI65498:AWO65498 BGE65498:BGK65498 BQA65498:BQG65498 BZW65498:CAC65498 CJS65498:CJY65498 CTO65498:CTU65498 DDK65498:DDQ65498 DNG65498:DNM65498 DXC65498:DXI65498 EGY65498:EHE65498 EQU65498:ERA65498 FAQ65498:FAW65498 FKM65498:FKS65498 FUI65498:FUO65498 GEE65498:GEK65498 GOA65498:GOG65498 GXW65498:GYC65498 HHS65498:HHY65498 HRO65498:HRU65498 IBK65498:IBQ65498 ILG65498:ILM65498 IVC65498:IVI65498 JEY65498:JFE65498 JOU65498:JPA65498 JYQ65498:JYW65498 KIM65498:KIS65498 KSI65498:KSO65498 LCE65498:LCK65498 LMA65498:LMG65498 LVW65498:LWC65498 MFS65498:MFY65498 MPO65498:MPU65498 MZK65498:MZQ65498 NJG65498:NJM65498 NTC65498:NTI65498 OCY65498:ODE65498 OMU65498:ONA65498 OWQ65498:OWW65498 PGM65498:PGS65498 PQI65498:PQO65498 QAE65498:QAK65498 QKA65498:QKG65498 QTW65498:QUC65498 RDS65498:RDY65498 RNO65498:RNU65498 RXK65498:RXQ65498 SHG65498:SHM65498 SRC65498:SRI65498 TAY65498:TBE65498 TKU65498:TLA65498 TUQ65498:TUW65498 UEM65498:UES65498 UOI65498:UOO65498 UYE65498:UYK65498 VIA65498:VIG65498 VRW65498:VSC65498 WBS65498:WBY65498 WLO65498:WLU65498 WVK65498:WVQ65498 C131033:I131033 IY131034:JE131034 SU131034:TA131034 ACQ131034:ACW131034 AMM131034:AMS131034 AWI131034:AWO131034 BGE131034:BGK131034 BQA131034:BQG131034 BZW131034:CAC131034 CJS131034:CJY131034 CTO131034:CTU131034 DDK131034:DDQ131034 DNG131034:DNM131034 DXC131034:DXI131034 EGY131034:EHE131034 EQU131034:ERA131034 FAQ131034:FAW131034 FKM131034:FKS131034 FUI131034:FUO131034 GEE131034:GEK131034 GOA131034:GOG131034 GXW131034:GYC131034 HHS131034:HHY131034 HRO131034:HRU131034 IBK131034:IBQ131034 ILG131034:ILM131034 IVC131034:IVI131034 JEY131034:JFE131034 JOU131034:JPA131034 JYQ131034:JYW131034 KIM131034:KIS131034 KSI131034:KSO131034 LCE131034:LCK131034 LMA131034:LMG131034 LVW131034:LWC131034 MFS131034:MFY131034 MPO131034:MPU131034 MZK131034:MZQ131034 NJG131034:NJM131034 NTC131034:NTI131034 OCY131034:ODE131034 OMU131034:ONA131034 OWQ131034:OWW131034 PGM131034:PGS131034 PQI131034:PQO131034 QAE131034:QAK131034 QKA131034:QKG131034 QTW131034:QUC131034 RDS131034:RDY131034 RNO131034:RNU131034 RXK131034:RXQ131034 SHG131034:SHM131034 SRC131034:SRI131034 TAY131034:TBE131034 TKU131034:TLA131034 TUQ131034:TUW131034 UEM131034:UES131034 UOI131034:UOO131034 UYE131034:UYK131034 VIA131034:VIG131034 VRW131034:VSC131034 WBS131034:WBY131034 WLO131034:WLU131034 WVK131034:WVQ131034 C196569:I196569 IY196570:JE196570 SU196570:TA196570 ACQ196570:ACW196570 AMM196570:AMS196570 AWI196570:AWO196570 BGE196570:BGK196570 BQA196570:BQG196570 BZW196570:CAC196570 CJS196570:CJY196570 CTO196570:CTU196570 DDK196570:DDQ196570 DNG196570:DNM196570 DXC196570:DXI196570 EGY196570:EHE196570 EQU196570:ERA196570 FAQ196570:FAW196570 FKM196570:FKS196570 FUI196570:FUO196570 GEE196570:GEK196570 GOA196570:GOG196570 GXW196570:GYC196570 HHS196570:HHY196570 HRO196570:HRU196570 IBK196570:IBQ196570 ILG196570:ILM196570 IVC196570:IVI196570 JEY196570:JFE196570 JOU196570:JPA196570 JYQ196570:JYW196570 KIM196570:KIS196570 KSI196570:KSO196570 LCE196570:LCK196570 LMA196570:LMG196570 LVW196570:LWC196570 MFS196570:MFY196570 MPO196570:MPU196570 MZK196570:MZQ196570 NJG196570:NJM196570 NTC196570:NTI196570 OCY196570:ODE196570 OMU196570:ONA196570 OWQ196570:OWW196570 PGM196570:PGS196570 PQI196570:PQO196570 QAE196570:QAK196570 QKA196570:QKG196570 QTW196570:QUC196570 RDS196570:RDY196570 RNO196570:RNU196570 RXK196570:RXQ196570 SHG196570:SHM196570 SRC196570:SRI196570 TAY196570:TBE196570 TKU196570:TLA196570 TUQ196570:TUW196570 UEM196570:UES196570 UOI196570:UOO196570 UYE196570:UYK196570 VIA196570:VIG196570 VRW196570:VSC196570 WBS196570:WBY196570 WLO196570:WLU196570 WVK196570:WVQ196570 C262105:I262105 IY262106:JE262106 SU262106:TA262106 ACQ262106:ACW262106 AMM262106:AMS262106 AWI262106:AWO262106 BGE262106:BGK262106 BQA262106:BQG262106 BZW262106:CAC262106 CJS262106:CJY262106 CTO262106:CTU262106 DDK262106:DDQ262106 DNG262106:DNM262106 DXC262106:DXI262106 EGY262106:EHE262106 EQU262106:ERA262106 FAQ262106:FAW262106 FKM262106:FKS262106 FUI262106:FUO262106 GEE262106:GEK262106 GOA262106:GOG262106 GXW262106:GYC262106 HHS262106:HHY262106 HRO262106:HRU262106 IBK262106:IBQ262106 ILG262106:ILM262106 IVC262106:IVI262106 JEY262106:JFE262106 JOU262106:JPA262106 JYQ262106:JYW262106 KIM262106:KIS262106 KSI262106:KSO262106 LCE262106:LCK262106 LMA262106:LMG262106 LVW262106:LWC262106 MFS262106:MFY262106 MPO262106:MPU262106 MZK262106:MZQ262106 NJG262106:NJM262106 NTC262106:NTI262106 OCY262106:ODE262106 OMU262106:ONA262106 OWQ262106:OWW262106 PGM262106:PGS262106 PQI262106:PQO262106 QAE262106:QAK262106 QKA262106:QKG262106 QTW262106:QUC262106 RDS262106:RDY262106 RNO262106:RNU262106 RXK262106:RXQ262106 SHG262106:SHM262106 SRC262106:SRI262106 TAY262106:TBE262106 TKU262106:TLA262106 TUQ262106:TUW262106 UEM262106:UES262106 UOI262106:UOO262106 UYE262106:UYK262106 VIA262106:VIG262106 VRW262106:VSC262106 WBS262106:WBY262106 WLO262106:WLU262106 WVK262106:WVQ262106 C327641:I327641 IY327642:JE327642 SU327642:TA327642 ACQ327642:ACW327642 AMM327642:AMS327642 AWI327642:AWO327642 BGE327642:BGK327642 BQA327642:BQG327642 BZW327642:CAC327642 CJS327642:CJY327642 CTO327642:CTU327642 DDK327642:DDQ327642 DNG327642:DNM327642 DXC327642:DXI327642 EGY327642:EHE327642 EQU327642:ERA327642 FAQ327642:FAW327642 FKM327642:FKS327642 FUI327642:FUO327642 GEE327642:GEK327642 GOA327642:GOG327642 GXW327642:GYC327642 HHS327642:HHY327642 HRO327642:HRU327642 IBK327642:IBQ327642 ILG327642:ILM327642 IVC327642:IVI327642 JEY327642:JFE327642 JOU327642:JPA327642 JYQ327642:JYW327642 KIM327642:KIS327642 KSI327642:KSO327642 LCE327642:LCK327642 LMA327642:LMG327642 LVW327642:LWC327642 MFS327642:MFY327642 MPO327642:MPU327642 MZK327642:MZQ327642 NJG327642:NJM327642 NTC327642:NTI327642 OCY327642:ODE327642 OMU327642:ONA327642 OWQ327642:OWW327642 PGM327642:PGS327642 PQI327642:PQO327642 QAE327642:QAK327642 QKA327642:QKG327642 QTW327642:QUC327642 RDS327642:RDY327642 RNO327642:RNU327642 RXK327642:RXQ327642 SHG327642:SHM327642 SRC327642:SRI327642 TAY327642:TBE327642 TKU327642:TLA327642 TUQ327642:TUW327642 UEM327642:UES327642 UOI327642:UOO327642 UYE327642:UYK327642 VIA327642:VIG327642 VRW327642:VSC327642 WBS327642:WBY327642 WLO327642:WLU327642 WVK327642:WVQ327642 C393177:I393177 IY393178:JE393178 SU393178:TA393178 ACQ393178:ACW393178 AMM393178:AMS393178 AWI393178:AWO393178 BGE393178:BGK393178 BQA393178:BQG393178 BZW393178:CAC393178 CJS393178:CJY393178 CTO393178:CTU393178 DDK393178:DDQ393178 DNG393178:DNM393178 DXC393178:DXI393178 EGY393178:EHE393178 EQU393178:ERA393178 FAQ393178:FAW393178 FKM393178:FKS393178 FUI393178:FUO393178 GEE393178:GEK393178 GOA393178:GOG393178 GXW393178:GYC393178 HHS393178:HHY393178 HRO393178:HRU393178 IBK393178:IBQ393178 ILG393178:ILM393178 IVC393178:IVI393178 JEY393178:JFE393178 JOU393178:JPA393178 JYQ393178:JYW393178 KIM393178:KIS393178 KSI393178:KSO393178 LCE393178:LCK393178 LMA393178:LMG393178 LVW393178:LWC393178 MFS393178:MFY393178 MPO393178:MPU393178 MZK393178:MZQ393178 NJG393178:NJM393178 NTC393178:NTI393178 OCY393178:ODE393178 OMU393178:ONA393178 OWQ393178:OWW393178 PGM393178:PGS393178 PQI393178:PQO393178 QAE393178:QAK393178 QKA393178:QKG393178 QTW393178:QUC393178 RDS393178:RDY393178 RNO393178:RNU393178 RXK393178:RXQ393178 SHG393178:SHM393178 SRC393178:SRI393178 TAY393178:TBE393178 TKU393178:TLA393178 TUQ393178:TUW393178 UEM393178:UES393178 UOI393178:UOO393178 UYE393178:UYK393178 VIA393178:VIG393178 VRW393178:VSC393178 WBS393178:WBY393178 WLO393178:WLU393178 WVK393178:WVQ393178 C458713:I458713 IY458714:JE458714 SU458714:TA458714 ACQ458714:ACW458714 AMM458714:AMS458714 AWI458714:AWO458714 BGE458714:BGK458714 BQA458714:BQG458714 BZW458714:CAC458714 CJS458714:CJY458714 CTO458714:CTU458714 DDK458714:DDQ458714 DNG458714:DNM458714 DXC458714:DXI458714 EGY458714:EHE458714 EQU458714:ERA458714 FAQ458714:FAW458714 FKM458714:FKS458714 FUI458714:FUO458714 GEE458714:GEK458714 GOA458714:GOG458714 GXW458714:GYC458714 HHS458714:HHY458714 HRO458714:HRU458714 IBK458714:IBQ458714 ILG458714:ILM458714 IVC458714:IVI458714 JEY458714:JFE458714 JOU458714:JPA458714 JYQ458714:JYW458714 KIM458714:KIS458714 KSI458714:KSO458714 LCE458714:LCK458714 LMA458714:LMG458714 LVW458714:LWC458714 MFS458714:MFY458714 MPO458714:MPU458714 MZK458714:MZQ458714 NJG458714:NJM458714 NTC458714:NTI458714 OCY458714:ODE458714 OMU458714:ONA458714 OWQ458714:OWW458714 PGM458714:PGS458714 PQI458714:PQO458714 QAE458714:QAK458714 QKA458714:QKG458714 QTW458714:QUC458714 RDS458714:RDY458714 RNO458714:RNU458714 RXK458714:RXQ458714 SHG458714:SHM458714 SRC458714:SRI458714 TAY458714:TBE458714 TKU458714:TLA458714 TUQ458714:TUW458714 UEM458714:UES458714 UOI458714:UOO458714 UYE458714:UYK458714 VIA458714:VIG458714 VRW458714:VSC458714 WBS458714:WBY458714 WLO458714:WLU458714 WVK458714:WVQ458714 C524249:I524249 IY524250:JE524250 SU524250:TA524250 ACQ524250:ACW524250 AMM524250:AMS524250 AWI524250:AWO524250 BGE524250:BGK524250 BQA524250:BQG524250 BZW524250:CAC524250 CJS524250:CJY524250 CTO524250:CTU524250 DDK524250:DDQ524250 DNG524250:DNM524250 DXC524250:DXI524250 EGY524250:EHE524250 EQU524250:ERA524250 FAQ524250:FAW524250 FKM524250:FKS524250 FUI524250:FUO524250 GEE524250:GEK524250 GOA524250:GOG524250 GXW524250:GYC524250 HHS524250:HHY524250 HRO524250:HRU524250 IBK524250:IBQ524250 ILG524250:ILM524250 IVC524250:IVI524250 JEY524250:JFE524250 JOU524250:JPA524250 JYQ524250:JYW524250 KIM524250:KIS524250 KSI524250:KSO524250 LCE524250:LCK524250 LMA524250:LMG524250 LVW524250:LWC524250 MFS524250:MFY524250 MPO524250:MPU524250 MZK524250:MZQ524250 NJG524250:NJM524250 NTC524250:NTI524250 OCY524250:ODE524250 OMU524250:ONA524250 OWQ524250:OWW524250 PGM524250:PGS524250 PQI524250:PQO524250 QAE524250:QAK524250 QKA524250:QKG524250 QTW524250:QUC524250 RDS524250:RDY524250 RNO524250:RNU524250 RXK524250:RXQ524250 SHG524250:SHM524250 SRC524250:SRI524250 TAY524250:TBE524250 TKU524250:TLA524250 TUQ524250:TUW524250 UEM524250:UES524250 UOI524250:UOO524250 UYE524250:UYK524250 VIA524250:VIG524250 VRW524250:VSC524250 WBS524250:WBY524250 WLO524250:WLU524250 WVK524250:WVQ524250 C589785:I589785 IY589786:JE589786 SU589786:TA589786 ACQ589786:ACW589786 AMM589786:AMS589786 AWI589786:AWO589786 BGE589786:BGK589786 BQA589786:BQG589786 BZW589786:CAC589786 CJS589786:CJY589786 CTO589786:CTU589786 DDK589786:DDQ589786 DNG589786:DNM589786 DXC589786:DXI589786 EGY589786:EHE589786 EQU589786:ERA589786 FAQ589786:FAW589786 FKM589786:FKS589786 FUI589786:FUO589786 GEE589786:GEK589786 GOA589786:GOG589786 GXW589786:GYC589786 HHS589786:HHY589786 HRO589786:HRU589786 IBK589786:IBQ589786 ILG589786:ILM589786 IVC589786:IVI589786 JEY589786:JFE589786 JOU589786:JPA589786 JYQ589786:JYW589786 KIM589786:KIS589786 KSI589786:KSO589786 LCE589786:LCK589786 LMA589786:LMG589786 LVW589786:LWC589786 MFS589786:MFY589786 MPO589786:MPU589786 MZK589786:MZQ589786 NJG589786:NJM589786 NTC589786:NTI589786 OCY589786:ODE589786 OMU589786:ONA589786 OWQ589786:OWW589786 PGM589786:PGS589786 PQI589786:PQO589786 QAE589786:QAK589786 QKA589786:QKG589786 QTW589786:QUC589786 RDS589786:RDY589786 RNO589786:RNU589786 RXK589786:RXQ589786 SHG589786:SHM589786 SRC589786:SRI589786 TAY589786:TBE589786 TKU589786:TLA589786 TUQ589786:TUW589786 UEM589786:UES589786 UOI589786:UOO589786 UYE589786:UYK589786 VIA589786:VIG589786 VRW589786:VSC589786 WBS589786:WBY589786 WLO589786:WLU589786 WVK589786:WVQ589786 C655321:I655321 IY655322:JE655322 SU655322:TA655322 ACQ655322:ACW655322 AMM655322:AMS655322 AWI655322:AWO655322 BGE655322:BGK655322 BQA655322:BQG655322 BZW655322:CAC655322 CJS655322:CJY655322 CTO655322:CTU655322 DDK655322:DDQ655322 DNG655322:DNM655322 DXC655322:DXI655322 EGY655322:EHE655322 EQU655322:ERA655322 FAQ655322:FAW655322 FKM655322:FKS655322 FUI655322:FUO655322 GEE655322:GEK655322 GOA655322:GOG655322 GXW655322:GYC655322 HHS655322:HHY655322 HRO655322:HRU655322 IBK655322:IBQ655322 ILG655322:ILM655322 IVC655322:IVI655322 JEY655322:JFE655322 JOU655322:JPA655322 JYQ655322:JYW655322 KIM655322:KIS655322 KSI655322:KSO655322 LCE655322:LCK655322 LMA655322:LMG655322 LVW655322:LWC655322 MFS655322:MFY655322 MPO655322:MPU655322 MZK655322:MZQ655322 NJG655322:NJM655322 NTC655322:NTI655322 OCY655322:ODE655322 OMU655322:ONA655322 OWQ655322:OWW655322 PGM655322:PGS655322 PQI655322:PQO655322 QAE655322:QAK655322 QKA655322:QKG655322 QTW655322:QUC655322 RDS655322:RDY655322 RNO655322:RNU655322 RXK655322:RXQ655322 SHG655322:SHM655322 SRC655322:SRI655322 TAY655322:TBE655322 TKU655322:TLA655322 TUQ655322:TUW655322 UEM655322:UES655322 UOI655322:UOO655322 UYE655322:UYK655322 VIA655322:VIG655322 VRW655322:VSC655322 WBS655322:WBY655322 WLO655322:WLU655322 WVK655322:WVQ655322 C720857:I720857 IY720858:JE720858 SU720858:TA720858 ACQ720858:ACW720858 AMM720858:AMS720858 AWI720858:AWO720858 BGE720858:BGK720858 BQA720858:BQG720858 BZW720858:CAC720858 CJS720858:CJY720858 CTO720858:CTU720858 DDK720858:DDQ720858 DNG720858:DNM720858 DXC720858:DXI720858 EGY720858:EHE720858 EQU720858:ERA720858 FAQ720858:FAW720858 FKM720858:FKS720858 FUI720858:FUO720858 GEE720858:GEK720858 GOA720858:GOG720858 GXW720858:GYC720858 HHS720858:HHY720858 HRO720858:HRU720858 IBK720858:IBQ720858 ILG720858:ILM720858 IVC720858:IVI720858 JEY720858:JFE720858 JOU720858:JPA720858 JYQ720858:JYW720858 KIM720858:KIS720858 KSI720858:KSO720858 LCE720858:LCK720858 LMA720858:LMG720858 LVW720858:LWC720858 MFS720858:MFY720858 MPO720858:MPU720858 MZK720858:MZQ720858 NJG720858:NJM720858 NTC720858:NTI720858 OCY720858:ODE720858 OMU720858:ONA720858 OWQ720858:OWW720858 PGM720858:PGS720858 PQI720858:PQO720858 QAE720858:QAK720858 QKA720858:QKG720858 QTW720858:QUC720858 RDS720858:RDY720858 RNO720858:RNU720858 RXK720858:RXQ720858 SHG720858:SHM720858 SRC720858:SRI720858 TAY720858:TBE720858 TKU720858:TLA720858 TUQ720858:TUW720858 UEM720858:UES720858 UOI720858:UOO720858 UYE720858:UYK720858 VIA720858:VIG720858 VRW720858:VSC720858 WBS720858:WBY720858 WLO720858:WLU720858 WVK720858:WVQ720858 C786393:I786393 IY786394:JE786394 SU786394:TA786394 ACQ786394:ACW786394 AMM786394:AMS786394 AWI786394:AWO786394 BGE786394:BGK786394 BQA786394:BQG786394 BZW786394:CAC786394 CJS786394:CJY786394 CTO786394:CTU786394 DDK786394:DDQ786394 DNG786394:DNM786394 DXC786394:DXI786394 EGY786394:EHE786394 EQU786394:ERA786394 FAQ786394:FAW786394 FKM786394:FKS786394 FUI786394:FUO786394 GEE786394:GEK786394 GOA786394:GOG786394 GXW786394:GYC786394 HHS786394:HHY786394 HRO786394:HRU786394 IBK786394:IBQ786394 ILG786394:ILM786394 IVC786394:IVI786394 JEY786394:JFE786394 JOU786394:JPA786394 JYQ786394:JYW786394 KIM786394:KIS786394 KSI786394:KSO786394 LCE786394:LCK786394 LMA786394:LMG786394 LVW786394:LWC786394 MFS786394:MFY786394 MPO786394:MPU786394 MZK786394:MZQ786394 NJG786394:NJM786394 NTC786394:NTI786394 OCY786394:ODE786394 OMU786394:ONA786394 OWQ786394:OWW786394 PGM786394:PGS786394 PQI786394:PQO786394 QAE786394:QAK786394 QKA786394:QKG786394 QTW786394:QUC786394 RDS786394:RDY786394 RNO786394:RNU786394 RXK786394:RXQ786394 SHG786394:SHM786394 SRC786394:SRI786394 TAY786394:TBE786394 TKU786394:TLA786394 TUQ786394:TUW786394 UEM786394:UES786394 UOI786394:UOO786394 UYE786394:UYK786394 VIA786394:VIG786394 VRW786394:VSC786394 WBS786394:WBY786394 WLO786394:WLU786394 WVK786394:WVQ786394 C851929:I851929 IY851930:JE851930 SU851930:TA851930 ACQ851930:ACW851930 AMM851930:AMS851930 AWI851930:AWO851930 BGE851930:BGK851930 BQA851930:BQG851930 BZW851930:CAC851930 CJS851930:CJY851930 CTO851930:CTU851930 DDK851930:DDQ851930 DNG851930:DNM851930 DXC851930:DXI851930 EGY851930:EHE851930 EQU851930:ERA851930 FAQ851930:FAW851930 FKM851930:FKS851930 FUI851930:FUO851930 GEE851930:GEK851930 GOA851930:GOG851930 GXW851930:GYC851930 HHS851930:HHY851930 HRO851930:HRU851930 IBK851930:IBQ851930 ILG851930:ILM851930 IVC851930:IVI851930 JEY851930:JFE851930 JOU851930:JPA851930 JYQ851930:JYW851930 KIM851930:KIS851930 KSI851930:KSO851930 LCE851930:LCK851930 LMA851930:LMG851930 LVW851930:LWC851930 MFS851930:MFY851930 MPO851930:MPU851930 MZK851930:MZQ851930 NJG851930:NJM851930 NTC851930:NTI851930 OCY851930:ODE851930 OMU851930:ONA851930 OWQ851930:OWW851930 PGM851930:PGS851930 PQI851930:PQO851930 QAE851930:QAK851930 QKA851930:QKG851930 QTW851930:QUC851930 RDS851930:RDY851930 RNO851930:RNU851930 RXK851930:RXQ851930 SHG851930:SHM851930 SRC851930:SRI851930 TAY851930:TBE851930 TKU851930:TLA851930 TUQ851930:TUW851930 UEM851930:UES851930 UOI851930:UOO851930 UYE851930:UYK851930 VIA851930:VIG851930 VRW851930:VSC851930 WBS851930:WBY851930 WLO851930:WLU851930 WVK851930:WVQ851930 C917465:I917465 IY917466:JE917466 SU917466:TA917466 ACQ917466:ACW917466 AMM917466:AMS917466 AWI917466:AWO917466 BGE917466:BGK917466 BQA917466:BQG917466 BZW917466:CAC917466 CJS917466:CJY917466 CTO917466:CTU917466 DDK917466:DDQ917466 DNG917466:DNM917466 DXC917466:DXI917466 EGY917466:EHE917466 EQU917466:ERA917466 FAQ917466:FAW917466 FKM917466:FKS917466 FUI917466:FUO917466 GEE917466:GEK917466 GOA917466:GOG917466 GXW917466:GYC917466 HHS917466:HHY917466 HRO917466:HRU917466 IBK917466:IBQ917466 ILG917466:ILM917466 IVC917466:IVI917466 JEY917466:JFE917466 JOU917466:JPA917466 JYQ917466:JYW917466 KIM917466:KIS917466 KSI917466:KSO917466 LCE917466:LCK917466 LMA917466:LMG917466 LVW917466:LWC917466 MFS917466:MFY917466 MPO917466:MPU917466 MZK917466:MZQ917466 NJG917466:NJM917466 NTC917466:NTI917466 OCY917466:ODE917466 OMU917466:ONA917466 OWQ917466:OWW917466 PGM917466:PGS917466 PQI917466:PQO917466 QAE917466:QAK917466 QKA917466:QKG917466 QTW917466:QUC917466 RDS917466:RDY917466 RNO917466:RNU917466 RXK917466:RXQ917466 SHG917466:SHM917466 SRC917466:SRI917466 TAY917466:TBE917466 TKU917466:TLA917466 TUQ917466:TUW917466 UEM917466:UES917466 UOI917466:UOO917466 UYE917466:UYK917466 VIA917466:VIG917466 VRW917466:VSC917466 WBS917466:WBY917466 WLO917466:WLU917466 WVK917466:WVQ917466 C983001:I983001 IY983002:JE983002 SU983002:TA983002 ACQ983002:ACW983002 AMM983002:AMS983002 AWI983002:AWO983002 BGE983002:BGK983002 BQA983002:BQG983002 BZW983002:CAC983002 CJS983002:CJY983002 CTO983002:CTU983002 DDK983002:DDQ983002 DNG983002:DNM983002 DXC983002:DXI983002 EGY983002:EHE983002 EQU983002:ERA983002 FAQ983002:FAW983002 FKM983002:FKS983002 FUI983002:FUO983002 GEE983002:GEK983002 GOA983002:GOG983002 GXW983002:GYC983002 HHS983002:HHY983002 HRO983002:HRU983002 IBK983002:IBQ983002 ILG983002:ILM983002 IVC983002:IVI983002 JEY983002:JFE983002 JOU983002:JPA983002 JYQ983002:JYW983002 KIM983002:KIS983002 KSI983002:KSO983002 LCE983002:LCK983002 LMA983002:LMG983002 LVW983002:LWC983002 MFS983002:MFY983002 MPO983002:MPU983002 MZK983002:MZQ983002 NJG983002:NJM983002 NTC983002:NTI983002 OCY983002:ODE983002 OMU983002:ONA983002 OWQ983002:OWW983002 PGM983002:PGS983002 PQI983002:PQO983002 QAE983002:QAK983002 QKA983002:QKG983002 QTW983002:QUC983002 RDS983002:RDY983002 RNO983002:RNU983002 RXK983002:RXQ983002 SHG983002:SHM983002 SRC983002:SRI983002 TAY983002:TBE983002 TKU983002:TLA983002 TUQ983002:TUW983002 UEM983002:UES983002 UOI983002:UOO983002 UYE983002:UYK983002 VIA983002:VIG983002 VRW983002:VSC983002 WBS983002:WBY983002 WLO983002:WLU983002">
      <formula1>Visit_types</formula1>
    </dataValidation>
    <dataValidation type="list" allowBlank="1" showInputMessage="1" showErrorMessage="1" sqref="WVR983002 C65535:I65535 IY65536:JE65536 SU65536:TA65536 ACQ65536:ACW65536 AMM65536:AMS65536 AWI65536:AWO65536 BGE65536:BGK65536 BQA65536:BQG65536 BZW65536:CAC65536 CJS65536:CJY65536 CTO65536:CTU65536 DDK65536:DDQ65536 DNG65536:DNM65536 DXC65536:DXI65536 EGY65536:EHE65536 EQU65536:ERA65536 FAQ65536:FAW65536 FKM65536:FKS65536 FUI65536:FUO65536 GEE65536:GEK65536 GOA65536:GOG65536 GXW65536:GYC65536 HHS65536:HHY65536 HRO65536:HRU65536 IBK65536:IBQ65536 ILG65536:ILM65536 IVC65536:IVI65536 JEY65536:JFE65536 JOU65536:JPA65536 JYQ65536:JYW65536 KIM65536:KIS65536 KSI65536:KSO65536 LCE65536:LCK65536 LMA65536:LMG65536 LVW65536:LWC65536 MFS65536:MFY65536 MPO65536:MPU65536 MZK65536:MZQ65536 NJG65536:NJM65536 NTC65536:NTI65536 OCY65536:ODE65536 OMU65536:ONA65536 OWQ65536:OWW65536 PGM65536:PGS65536 PQI65536:PQO65536 QAE65536:QAK65536 QKA65536:QKG65536 QTW65536:QUC65536 RDS65536:RDY65536 RNO65536:RNU65536 RXK65536:RXQ65536 SHG65536:SHM65536 SRC65536:SRI65536 TAY65536:TBE65536 TKU65536:TLA65536 TUQ65536:TUW65536 UEM65536:UES65536 UOI65536:UOO65536 UYE65536:UYK65536 VIA65536:VIG65536 VRW65536:VSC65536 WBS65536:WBY65536 WLO65536:WLU65536 WVK65536:WVQ65536 C131071:I131071 IY131072:JE131072 SU131072:TA131072 ACQ131072:ACW131072 AMM131072:AMS131072 AWI131072:AWO131072 BGE131072:BGK131072 BQA131072:BQG131072 BZW131072:CAC131072 CJS131072:CJY131072 CTO131072:CTU131072 DDK131072:DDQ131072 DNG131072:DNM131072 DXC131072:DXI131072 EGY131072:EHE131072 EQU131072:ERA131072 FAQ131072:FAW131072 FKM131072:FKS131072 FUI131072:FUO131072 GEE131072:GEK131072 GOA131072:GOG131072 GXW131072:GYC131072 HHS131072:HHY131072 HRO131072:HRU131072 IBK131072:IBQ131072 ILG131072:ILM131072 IVC131072:IVI131072 JEY131072:JFE131072 JOU131072:JPA131072 JYQ131072:JYW131072 KIM131072:KIS131072 KSI131072:KSO131072 LCE131072:LCK131072 LMA131072:LMG131072 LVW131072:LWC131072 MFS131072:MFY131072 MPO131072:MPU131072 MZK131072:MZQ131072 NJG131072:NJM131072 NTC131072:NTI131072 OCY131072:ODE131072 OMU131072:ONA131072 OWQ131072:OWW131072 PGM131072:PGS131072 PQI131072:PQO131072 QAE131072:QAK131072 QKA131072:QKG131072 QTW131072:QUC131072 RDS131072:RDY131072 RNO131072:RNU131072 RXK131072:RXQ131072 SHG131072:SHM131072 SRC131072:SRI131072 TAY131072:TBE131072 TKU131072:TLA131072 TUQ131072:TUW131072 UEM131072:UES131072 UOI131072:UOO131072 UYE131072:UYK131072 VIA131072:VIG131072 VRW131072:VSC131072 WBS131072:WBY131072 WLO131072:WLU131072 WVK131072:WVQ131072 C196607:I196607 IY196608:JE196608 SU196608:TA196608 ACQ196608:ACW196608 AMM196608:AMS196608 AWI196608:AWO196608 BGE196608:BGK196608 BQA196608:BQG196608 BZW196608:CAC196608 CJS196608:CJY196608 CTO196608:CTU196608 DDK196608:DDQ196608 DNG196608:DNM196608 DXC196608:DXI196608 EGY196608:EHE196608 EQU196608:ERA196608 FAQ196608:FAW196608 FKM196608:FKS196608 FUI196608:FUO196608 GEE196608:GEK196608 GOA196608:GOG196608 GXW196608:GYC196608 HHS196608:HHY196608 HRO196608:HRU196608 IBK196608:IBQ196608 ILG196608:ILM196608 IVC196608:IVI196608 JEY196608:JFE196608 JOU196608:JPA196608 JYQ196608:JYW196608 KIM196608:KIS196608 KSI196608:KSO196608 LCE196608:LCK196608 LMA196608:LMG196608 LVW196608:LWC196608 MFS196608:MFY196608 MPO196608:MPU196608 MZK196608:MZQ196608 NJG196608:NJM196608 NTC196608:NTI196608 OCY196608:ODE196608 OMU196608:ONA196608 OWQ196608:OWW196608 PGM196608:PGS196608 PQI196608:PQO196608 QAE196608:QAK196608 QKA196608:QKG196608 QTW196608:QUC196608 RDS196608:RDY196608 RNO196608:RNU196608 RXK196608:RXQ196608 SHG196608:SHM196608 SRC196608:SRI196608 TAY196608:TBE196608 TKU196608:TLA196608 TUQ196608:TUW196608 UEM196608:UES196608 UOI196608:UOO196608 UYE196608:UYK196608 VIA196608:VIG196608 VRW196608:VSC196608 WBS196608:WBY196608 WLO196608:WLU196608 WVK196608:WVQ196608 C262143:I262143 IY262144:JE262144 SU262144:TA262144 ACQ262144:ACW262144 AMM262144:AMS262144 AWI262144:AWO262144 BGE262144:BGK262144 BQA262144:BQG262144 BZW262144:CAC262144 CJS262144:CJY262144 CTO262144:CTU262144 DDK262144:DDQ262144 DNG262144:DNM262144 DXC262144:DXI262144 EGY262144:EHE262144 EQU262144:ERA262144 FAQ262144:FAW262144 FKM262144:FKS262144 FUI262144:FUO262144 GEE262144:GEK262144 GOA262144:GOG262144 GXW262144:GYC262144 HHS262144:HHY262144 HRO262144:HRU262144 IBK262144:IBQ262144 ILG262144:ILM262144 IVC262144:IVI262144 JEY262144:JFE262144 JOU262144:JPA262144 JYQ262144:JYW262144 KIM262144:KIS262144 KSI262144:KSO262144 LCE262144:LCK262144 LMA262144:LMG262144 LVW262144:LWC262144 MFS262144:MFY262144 MPO262144:MPU262144 MZK262144:MZQ262144 NJG262144:NJM262144 NTC262144:NTI262144 OCY262144:ODE262144 OMU262144:ONA262144 OWQ262144:OWW262144 PGM262144:PGS262144 PQI262144:PQO262144 QAE262144:QAK262144 QKA262144:QKG262144 QTW262144:QUC262144 RDS262144:RDY262144 RNO262144:RNU262144 RXK262144:RXQ262144 SHG262144:SHM262144 SRC262144:SRI262144 TAY262144:TBE262144 TKU262144:TLA262144 TUQ262144:TUW262144 UEM262144:UES262144 UOI262144:UOO262144 UYE262144:UYK262144 VIA262144:VIG262144 VRW262144:VSC262144 WBS262144:WBY262144 WLO262144:WLU262144 WVK262144:WVQ262144 C327679:I327679 IY327680:JE327680 SU327680:TA327680 ACQ327680:ACW327680 AMM327680:AMS327680 AWI327680:AWO327680 BGE327680:BGK327680 BQA327680:BQG327680 BZW327680:CAC327680 CJS327680:CJY327680 CTO327680:CTU327680 DDK327680:DDQ327680 DNG327680:DNM327680 DXC327680:DXI327680 EGY327680:EHE327680 EQU327680:ERA327680 FAQ327680:FAW327680 FKM327680:FKS327680 FUI327680:FUO327680 GEE327680:GEK327680 GOA327680:GOG327680 GXW327680:GYC327680 HHS327680:HHY327680 HRO327680:HRU327680 IBK327680:IBQ327680 ILG327680:ILM327680 IVC327680:IVI327680 JEY327680:JFE327680 JOU327680:JPA327680 JYQ327680:JYW327680 KIM327680:KIS327680 KSI327680:KSO327680 LCE327680:LCK327680 LMA327680:LMG327680 LVW327680:LWC327680 MFS327680:MFY327680 MPO327680:MPU327680 MZK327680:MZQ327680 NJG327680:NJM327680 NTC327680:NTI327680 OCY327680:ODE327680 OMU327680:ONA327680 OWQ327680:OWW327680 PGM327680:PGS327680 PQI327680:PQO327680 QAE327680:QAK327680 QKA327680:QKG327680 QTW327680:QUC327680 RDS327680:RDY327680 RNO327680:RNU327680 RXK327680:RXQ327680 SHG327680:SHM327680 SRC327680:SRI327680 TAY327680:TBE327680 TKU327680:TLA327680 TUQ327680:TUW327680 UEM327680:UES327680 UOI327680:UOO327680 UYE327680:UYK327680 VIA327680:VIG327680 VRW327680:VSC327680 WBS327680:WBY327680 WLO327680:WLU327680 WVK327680:WVQ327680 C393215:I393215 IY393216:JE393216 SU393216:TA393216 ACQ393216:ACW393216 AMM393216:AMS393216 AWI393216:AWO393216 BGE393216:BGK393216 BQA393216:BQG393216 BZW393216:CAC393216 CJS393216:CJY393216 CTO393216:CTU393216 DDK393216:DDQ393216 DNG393216:DNM393216 DXC393216:DXI393216 EGY393216:EHE393216 EQU393216:ERA393216 FAQ393216:FAW393216 FKM393216:FKS393216 FUI393216:FUO393216 GEE393216:GEK393216 GOA393216:GOG393216 GXW393216:GYC393216 HHS393216:HHY393216 HRO393216:HRU393216 IBK393216:IBQ393216 ILG393216:ILM393216 IVC393216:IVI393216 JEY393216:JFE393216 JOU393216:JPA393216 JYQ393216:JYW393216 KIM393216:KIS393216 KSI393216:KSO393216 LCE393216:LCK393216 LMA393216:LMG393216 LVW393216:LWC393216 MFS393216:MFY393216 MPO393216:MPU393216 MZK393216:MZQ393216 NJG393216:NJM393216 NTC393216:NTI393216 OCY393216:ODE393216 OMU393216:ONA393216 OWQ393216:OWW393216 PGM393216:PGS393216 PQI393216:PQO393216 QAE393216:QAK393216 QKA393216:QKG393216 QTW393216:QUC393216 RDS393216:RDY393216 RNO393216:RNU393216 RXK393216:RXQ393216 SHG393216:SHM393216 SRC393216:SRI393216 TAY393216:TBE393216 TKU393216:TLA393216 TUQ393216:TUW393216 UEM393216:UES393216 UOI393216:UOO393216 UYE393216:UYK393216 VIA393216:VIG393216 VRW393216:VSC393216 WBS393216:WBY393216 WLO393216:WLU393216 WVK393216:WVQ393216 C458751:I458751 IY458752:JE458752 SU458752:TA458752 ACQ458752:ACW458752 AMM458752:AMS458752 AWI458752:AWO458752 BGE458752:BGK458752 BQA458752:BQG458752 BZW458752:CAC458752 CJS458752:CJY458752 CTO458752:CTU458752 DDK458752:DDQ458752 DNG458752:DNM458752 DXC458752:DXI458752 EGY458752:EHE458752 EQU458752:ERA458752 FAQ458752:FAW458752 FKM458752:FKS458752 FUI458752:FUO458752 GEE458752:GEK458752 GOA458752:GOG458752 GXW458752:GYC458752 HHS458752:HHY458752 HRO458752:HRU458752 IBK458752:IBQ458752 ILG458752:ILM458752 IVC458752:IVI458752 JEY458752:JFE458752 JOU458752:JPA458752 JYQ458752:JYW458752 KIM458752:KIS458752 KSI458752:KSO458752 LCE458752:LCK458752 LMA458752:LMG458752 LVW458752:LWC458752 MFS458752:MFY458752 MPO458752:MPU458752 MZK458752:MZQ458752 NJG458752:NJM458752 NTC458752:NTI458752 OCY458752:ODE458752 OMU458752:ONA458752 OWQ458752:OWW458752 PGM458752:PGS458752 PQI458752:PQO458752 QAE458752:QAK458752 QKA458752:QKG458752 QTW458752:QUC458752 RDS458752:RDY458752 RNO458752:RNU458752 RXK458752:RXQ458752 SHG458752:SHM458752 SRC458752:SRI458752 TAY458752:TBE458752 TKU458752:TLA458752 TUQ458752:TUW458752 UEM458752:UES458752 UOI458752:UOO458752 UYE458752:UYK458752 VIA458752:VIG458752 VRW458752:VSC458752 WBS458752:WBY458752 WLO458752:WLU458752 WVK458752:WVQ458752 C524287:I524287 IY524288:JE524288 SU524288:TA524288 ACQ524288:ACW524288 AMM524288:AMS524288 AWI524288:AWO524288 BGE524288:BGK524288 BQA524288:BQG524288 BZW524288:CAC524288 CJS524288:CJY524288 CTO524288:CTU524288 DDK524288:DDQ524288 DNG524288:DNM524288 DXC524288:DXI524288 EGY524288:EHE524288 EQU524288:ERA524288 FAQ524288:FAW524288 FKM524288:FKS524288 FUI524288:FUO524288 GEE524288:GEK524288 GOA524288:GOG524288 GXW524288:GYC524288 HHS524288:HHY524288 HRO524288:HRU524288 IBK524288:IBQ524288 ILG524288:ILM524288 IVC524288:IVI524288 JEY524288:JFE524288 JOU524288:JPA524288 JYQ524288:JYW524288 KIM524288:KIS524288 KSI524288:KSO524288 LCE524288:LCK524288 LMA524288:LMG524288 LVW524288:LWC524288 MFS524288:MFY524288 MPO524288:MPU524288 MZK524288:MZQ524288 NJG524288:NJM524288 NTC524288:NTI524288 OCY524288:ODE524288 OMU524288:ONA524288 OWQ524288:OWW524288 PGM524288:PGS524288 PQI524288:PQO524288 QAE524288:QAK524288 QKA524288:QKG524288 QTW524288:QUC524288 RDS524288:RDY524288 RNO524288:RNU524288 RXK524288:RXQ524288 SHG524288:SHM524288 SRC524288:SRI524288 TAY524288:TBE524288 TKU524288:TLA524288 TUQ524288:TUW524288 UEM524288:UES524288 UOI524288:UOO524288 UYE524288:UYK524288 VIA524288:VIG524288 VRW524288:VSC524288 WBS524288:WBY524288 WLO524288:WLU524288 WVK524288:WVQ524288 C589823:I589823 IY589824:JE589824 SU589824:TA589824 ACQ589824:ACW589824 AMM589824:AMS589824 AWI589824:AWO589824 BGE589824:BGK589824 BQA589824:BQG589824 BZW589824:CAC589824 CJS589824:CJY589824 CTO589824:CTU589824 DDK589824:DDQ589824 DNG589824:DNM589824 DXC589824:DXI589824 EGY589824:EHE589824 EQU589824:ERA589824 FAQ589824:FAW589824 FKM589824:FKS589824 FUI589824:FUO589824 GEE589824:GEK589824 GOA589824:GOG589824 GXW589824:GYC589824 HHS589824:HHY589824 HRO589824:HRU589824 IBK589824:IBQ589824 ILG589824:ILM589824 IVC589824:IVI589824 JEY589824:JFE589824 JOU589824:JPA589824 JYQ589824:JYW589824 KIM589824:KIS589824 KSI589824:KSO589824 LCE589824:LCK589824 LMA589824:LMG589824 LVW589824:LWC589824 MFS589824:MFY589824 MPO589824:MPU589824 MZK589824:MZQ589824 NJG589824:NJM589824 NTC589824:NTI589824 OCY589824:ODE589824 OMU589824:ONA589824 OWQ589824:OWW589824 PGM589824:PGS589824 PQI589824:PQO589824 QAE589824:QAK589824 QKA589824:QKG589824 QTW589824:QUC589824 RDS589824:RDY589824 RNO589824:RNU589824 RXK589824:RXQ589824 SHG589824:SHM589824 SRC589824:SRI589824 TAY589824:TBE589824 TKU589824:TLA589824 TUQ589824:TUW589824 UEM589824:UES589824 UOI589824:UOO589824 UYE589824:UYK589824 VIA589824:VIG589824 VRW589824:VSC589824 WBS589824:WBY589824 WLO589824:WLU589824 WVK589824:WVQ589824 C655359:I655359 IY655360:JE655360 SU655360:TA655360 ACQ655360:ACW655360 AMM655360:AMS655360 AWI655360:AWO655360 BGE655360:BGK655360 BQA655360:BQG655360 BZW655360:CAC655360 CJS655360:CJY655360 CTO655360:CTU655360 DDK655360:DDQ655360 DNG655360:DNM655360 DXC655360:DXI655360 EGY655360:EHE655360 EQU655360:ERA655360 FAQ655360:FAW655360 FKM655360:FKS655360 FUI655360:FUO655360 GEE655360:GEK655360 GOA655360:GOG655360 GXW655360:GYC655360 HHS655360:HHY655360 HRO655360:HRU655360 IBK655360:IBQ655360 ILG655360:ILM655360 IVC655360:IVI655360 JEY655360:JFE655360 JOU655360:JPA655360 JYQ655360:JYW655360 KIM655360:KIS655360 KSI655360:KSO655360 LCE655360:LCK655360 LMA655360:LMG655360 LVW655360:LWC655360 MFS655360:MFY655360 MPO655360:MPU655360 MZK655360:MZQ655360 NJG655360:NJM655360 NTC655360:NTI655360 OCY655360:ODE655360 OMU655360:ONA655360 OWQ655360:OWW655360 PGM655360:PGS655360 PQI655360:PQO655360 QAE655360:QAK655360 QKA655360:QKG655360 QTW655360:QUC655360 RDS655360:RDY655360 RNO655360:RNU655360 RXK655360:RXQ655360 SHG655360:SHM655360 SRC655360:SRI655360 TAY655360:TBE655360 TKU655360:TLA655360 TUQ655360:TUW655360 UEM655360:UES655360 UOI655360:UOO655360 UYE655360:UYK655360 VIA655360:VIG655360 VRW655360:VSC655360 WBS655360:WBY655360 WLO655360:WLU655360 WVK655360:WVQ655360 C720895:I720895 IY720896:JE720896 SU720896:TA720896 ACQ720896:ACW720896 AMM720896:AMS720896 AWI720896:AWO720896 BGE720896:BGK720896 BQA720896:BQG720896 BZW720896:CAC720896 CJS720896:CJY720896 CTO720896:CTU720896 DDK720896:DDQ720896 DNG720896:DNM720896 DXC720896:DXI720896 EGY720896:EHE720896 EQU720896:ERA720896 FAQ720896:FAW720896 FKM720896:FKS720896 FUI720896:FUO720896 GEE720896:GEK720896 GOA720896:GOG720896 GXW720896:GYC720896 HHS720896:HHY720896 HRO720896:HRU720896 IBK720896:IBQ720896 ILG720896:ILM720896 IVC720896:IVI720896 JEY720896:JFE720896 JOU720896:JPA720896 JYQ720896:JYW720896 KIM720896:KIS720896 KSI720896:KSO720896 LCE720896:LCK720896 LMA720896:LMG720896 LVW720896:LWC720896 MFS720896:MFY720896 MPO720896:MPU720896 MZK720896:MZQ720896 NJG720896:NJM720896 NTC720896:NTI720896 OCY720896:ODE720896 OMU720896:ONA720896 OWQ720896:OWW720896 PGM720896:PGS720896 PQI720896:PQO720896 QAE720896:QAK720896 QKA720896:QKG720896 QTW720896:QUC720896 RDS720896:RDY720896 RNO720896:RNU720896 RXK720896:RXQ720896 SHG720896:SHM720896 SRC720896:SRI720896 TAY720896:TBE720896 TKU720896:TLA720896 TUQ720896:TUW720896 UEM720896:UES720896 UOI720896:UOO720896 UYE720896:UYK720896 VIA720896:VIG720896 VRW720896:VSC720896 WBS720896:WBY720896 WLO720896:WLU720896 WVK720896:WVQ720896 C786431:I786431 IY786432:JE786432 SU786432:TA786432 ACQ786432:ACW786432 AMM786432:AMS786432 AWI786432:AWO786432 BGE786432:BGK786432 BQA786432:BQG786432 BZW786432:CAC786432 CJS786432:CJY786432 CTO786432:CTU786432 DDK786432:DDQ786432 DNG786432:DNM786432 DXC786432:DXI786432 EGY786432:EHE786432 EQU786432:ERA786432 FAQ786432:FAW786432 FKM786432:FKS786432 FUI786432:FUO786432 GEE786432:GEK786432 GOA786432:GOG786432 GXW786432:GYC786432 HHS786432:HHY786432 HRO786432:HRU786432 IBK786432:IBQ786432 ILG786432:ILM786432 IVC786432:IVI786432 JEY786432:JFE786432 JOU786432:JPA786432 JYQ786432:JYW786432 KIM786432:KIS786432 KSI786432:KSO786432 LCE786432:LCK786432 LMA786432:LMG786432 LVW786432:LWC786432 MFS786432:MFY786432 MPO786432:MPU786432 MZK786432:MZQ786432 NJG786432:NJM786432 NTC786432:NTI786432 OCY786432:ODE786432 OMU786432:ONA786432 OWQ786432:OWW786432 PGM786432:PGS786432 PQI786432:PQO786432 QAE786432:QAK786432 QKA786432:QKG786432 QTW786432:QUC786432 RDS786432:RDY786432 RNO786432:RNU786432 RXK786432:RXQ786432 SHG786432:SHM786432 SRC786432:SRI786432 TAY786432:TBE786432 TKU786432:TLA786432 TUQ786432:TUW786432 UEM786432:UES786432 UOI786432:UOO786432 UYE786432:UYK786432 VIA786432:VIG786432 VRW786432:VSC786432 WBS786432:WBY786432 WLO786432:WLU786432 WVK786432:WVQ786432 C851967:I851967 IY851968:JE851968 SU851968:TA851968 ACQ851968:ACW851968 AMM851968:AMS851968 AWI851968:AWO851968 BGE851968:BGK851968 BQA851968:BQG851968 BZW851968:CAC851968 CJS851968:CJY851968 CTO851968:CTU851968 DDK851968:DDQ851968 DNG851968:DNM851968 DXC851968:DXI851968 EGY851968:EHE851968 EQU851968:ERA851968 FAQ851968:FAW851968 FKM851968:FKS851968 FUI851968:FUO851968 GEE851968:GEK851968 GOA851968:GOG851968 GXW851968:GYC851968 HHS851968:HHY851968 HRO851968:HRU851968 IBK851968:IBQ851968 ILG851968:ILM851968 IVC851968:IVI851968 JEY851968:JFE851968 JOU851968:JPA851968 JYQ851968:JYW851968 KIM851968:KIS851968 KSI851968:KSO851968 LCE851968:LCK851968 LMA851968:LMG851968 LVW851968:LWC851968 MFS851968:MFY851968 MPO851968:MPU851968 MZK851968:MZQ851968 NJG851968:NJM851968 NTC851968:NTI851968 OCY851968:ODE851968 OMU851968:ONA851968 OWQ851968:OWW851968 PGM851968:PGS851968 PQI851968:PQO851968 QAE851968:QAK851968 QKA851968:QKG851968 QTW851968:QUC851968 RDS851968:RDY851968 RNO851968:RNU851968 RXK851968:RXQ851968 SHG851968:SHM851968 SRC851968:SRI851968 TAY851968:TBE851968 TKU851968:TLA851968 TUQ851968:TUW851968 UEM851968:UES851968 UOI851968:UOO851968 UYE851968:UYK851968 VIA851968:VIG851968 VRW851968:VSC851968 WBS851968:WBY851968 WLO851968:WLU851968 WVK851968:WVQ851968 C917503:I917503 IY917504:JE917504 SU917504:TA917504 ACQ917504:ACW917504 AMM917504:AMS917504 AWI917504:AWO917504 BGE917504:BGK917504 BQA917504:BQG917504 BZW917504:CAC917504 CJS917504:CJY917504 CTO917504:CTU917504 DDK917504:DDQ917504 DNG917504:DNM917504 DXC917504:DXI917504 EGY917504:EHE917504 EQU917504:ERA917504 FAQ917504:FAW917504 FKM917504:FKS917504 FUI917504:FUO917504 GEE917504:GEK917504 GOA917504:GOG917504 GXW917504:GYC917504 HHS917504:HHY917504 HRO917504:HRU917504 IBK917504:IBQ917504 ILG917504:ILM917504 IVC917504:IVI917504 JEY917504:JFE917504 JOU917504:JPA917504 JYQ917504:JYW917504 KIM917504:KIS917504 KSI917504:KSO917504 LCE917504:LCK917504 LMA917504:LMG917504 LVW917504:LWC917504 MFS917504:MFY917504 MPO917504:MPU917504 MZK917504:MZQ917504 NJG917504:NJM917504 NTC917504:NTI917504 OCY917504:ODE917504 OMU917504:ONA917504 OWQ917504:OWW917504 PGM917504:PGS917504 PQI917504:PQO917504 QAE917504:QAK917504 QKA917504:QKG917504 QTW917504:QUC917504 RDS917504:RDY917504 RNO917504:RNU917504 RXK917504:RXQ917504 SHG917504:SHM917504 SRC917504:SRI917504 TAY917504:TBE917504 TKU917504:TLA917504 TUQ917504:TUW917504 UEM917504:UES917504 UOI917504:UOO917504 UYE917504:UYK917504 VIA917504:VIG917504 VRW917504:VSC917504 WBS917504:WBY917504 WLO917504:WLU917504 WVK917504:WVQ917504 C983039:I983039 IY983040:JE983040 SU983040:TA983040 ACQ983040:ACW983040 AMM983040:AMS983040 AWI983040:AWO983040 BGE983040:BGK983040 BQA983040:BQG983040 BZW983040:CAC983040 CJS983040:CJY983040 CTO983040:CTU983040 DDK983040:DDQ983040 DNG983040:DNM983040 DXC983040:DXI983040 EGY983040:EHE983040 EQU983040:ERA983040 FAQ983040:FAW983040 FKM983040:FKS983040 FUI983040:FUO983040 GEE983040:GEK983040 GOA983040:GOG983040 GXW983040:GYC983040 HHS983040:HHY983040 HRO983040:HRU983040 IBK983040:IBQ983040 ILG983040:ILM983040 IVC983040:IVI983040 JEY983040:JFE983040 JOU983040:JPA983040 JYQ983040:JYW983040 KIM983040:KIS983040 KSI983040:KSO983040 LCE983040:LCK983040 LMA983040:LMG983040 LVW983040:LWC983040 MFS983040:MFY983040 MPO983040:MPU983040 MZK983040:MZQ983040 NJG983040:NJM983040 NTC983040:NTI983040 OCY983040:ODE983040 OMU983040:ONA983040 OWQ983040:OWW983040 PGM983040:PGS983040 PQI983040:PQO983040 QAE983040:QAK983040 QKA983040:QKG983040 QTW983040:QUC983040 RDS983040:RDY983040 RNO983040:RNU983040 RXK983040:RXQ983040 SHG983040:SHM983040 SRC983040:SRI983040 TAY983040:TBE983040 TKU983040:TLA983040 TUQ983040:TUW983040 UEM983040:UES983040 UOI983040:UOO983040 UYE983040:UYK983040 VIA983040:VIG983040 VRW983040:VSC983040 WBS983040:WBY983040 WLO983040:WLU983040 WVK983040:WVQ983040 WLV983002 IV38 SR38 ACN38 AMJ38 AWF38 BGB38 BPX38 BZT38 CJP38 CTL38 DDH38 DND38 DWZ38 EGV38 EQR38 FAN38 FKJ38 FUF38 GEB38 GNX38 GXT38 HHP38 HRL38 IBH38 ILD38 IUZ38 JEV38 JOR38 JYN38 KIJ38 KSF38 LCB38 LLX38 LVT38 MFP38 MPL38 MZH38 NJD38 NSZ38 OCV38 OMR38 OWN38 PGJ38 PQF38 QAB38 QJX38 QTT38 RDP38 RNL38 RXH38 SHD38 SQZ38 TAV38 TKR38 TUN38 UEJ38 UOF38 UYB38 VHX38 VRT38 WBP38 WLL38 WVH38 J65497 JF65498 TB65498 ACX65498 AMT65498 AWP65498 BGL65498 BQH65498 CAD65498 CJZ65498 CTV65498 DDR65498 DNN65498 DXJ65498 EHF65498 ERB65498 FAX65498 FKT65498 FUP65498 GEL65498 GOH65498 GYD65498 HHZ65498 HRV65498 IBR65498 ILN65498 IVJ65498 JFF65498 JPB65498 JYX65498 KIT65498 KSP65498 LCL65498 LMH65498 LWD65498 MFZ65498 MPV65498 MZR65498 NJN65498 NTJ65498 ODF65498 ONB65498 OWX65498 PGT65498 PQP65498 QAL65498 QKH65498 QUD65498 RDZ65498 RNV65498 RXR65498 SHN65498 SRJ65498 TBF65498 TLB65498 TUX65498 UET65498 UOP65498 UYL65498 VIH65498 VSD65498 WBZ65498 WLV65498 WVR65498 J131033 JF131034 TB131034 ACX131034 AMT131034 AWP131034 BGL131034 BQH131034 CAD131034 CJZ131034 CTV131034 DDR131034 DNN131034 DXJ131034 EHF131034 ERB131034 FAX131034 FKT131034 FUP131034 GEL131034 GOH131034 GYD131034 HHZ131034 HRV131034 IBR131034 ILN131034 IVJ131034 JFF131034 JPB131034 JYX131034 KIT131034 KSP131034 LCL131034 LMH131034 LWD131034 MFZ131034 MPV131034 MZR131034 NJN131034 NTJ131034 ODF131034 ONB131034 OWX131034 PGT131034 PQP131034 QAL131034 QKH131034 QUD131034 RDZ131034 RNV131034 RXR131034 SHN131034 SRJ131034 TBF131034 TLB131034 TUX131034 UET131034 UOP131034 UYL131034 VIH131034 VSD131034 WBZ131034 WLV131034 WVR131034 J196569 JF196570 TB196570 ACX196570 AMT196570 AWP196570 BGL196570 BQH196570 CAD196570 CJZ196570 CTV196570 DDR196570 DNN196570 DXJ196570 EHF196570 ERB196570 FAX196570 FKT196570 FUP196570 GEL196570 GOH196570 GYD196570 HHZ196570 HRV196570 IBR196570 ILN196570 IVJ196570 JFF196570 JPB196570 JYX196570 KIT196570 KSP196570 LCL196570 LMH196570 LWD196570 MFZ196570 MPV196570 MZR196570 NJN196570 NTJ196570 ODF196570 ONB196570 OWX196570 PGT196570 PQP196570 QAL196570 QKH196570 QUD196570 RDZ196570 RNV196570 RXR196570 SHN196570 SRJ196570 TBF196570 TLB196570 TUX196570 UET196570 UOP196570 UYL196570 VIH196570 VSD196570 WBZ196570 WLV196570 WVR196570 J262105 JF262106 TB262106 ACX262106 AMT262106 AWP262106 BGL262106 BQH262106 CAD262106 CJZ262106 CTV262106 DDR262106 DNN262106 DXJ262106 EHF262106 ERB262106 FAX262106 FKT262106 FUP262106 GEL262106 GOH262106 GYD262106 HHZ262106 HRV262106 IBR262106 ILN262106 IVJ262106 JFF262106 JPB262106 JYX262106 KIT262106 KSP262106 LCL262106 LMH262106 LWD262106 MFZ262106 MPV262106 MZR262106 NJN262106 NTJ262106 ODF262106 ONB262106 OWX262106 PGT262106 PQP262106 QAL262106 QKH262106 QUD262106 RDZ262106 RNV262106 RXR262106 SHN262106 SRJ262106 TBF262106 TLB262106 TUX262106 UET262106 UOP262106 UYL262106 VIH262106 VSD262106 WBZ262106 WLV262106 WVR262106 J327641 JF327642 TB327642 ACX327642 AMT327642 AWP327642 BGL327642 BQH327642 CAD327642 CJZ327642 CTV327642 DDR327642 DNN327642 DXJ327642 EHF327642 ERB327642 FAX327642 FKT327642 FUP327642 GEL327642 GOH327642 GYD327642 HHZ327642 HRV327642 IBR327642 ILN327642 IVJ327642 JFF327642 JPB327642 JYX327642 KIT327642 KSP327642 LCL327642 LMH327642 LWD327642 MFZ327642 MPV327642 MZR327642 NJN327642 NTJ327642 ODF327642 ONB327642 OWX327642 PGT327642 PQP327642 QAL327642 QKH327642 QUD327642 RDZ327642 RNV327642 RXR327642 SHN327642 SRJ327642 TBF327642 TLB327642 TUX327642 UET327642 UOP327642 UYL327642 VIH327642 VSD327642 WBZ327642 WLV327642 WVR327642 J393177 JF393178 TB393178 ACX393178 AMT393178 AWP393178 BGL393178 BQH393178 CAD393178 CJZ393178 CTV393178 DDR393178 DNN393178 DXJ393178 EHF393178 ERB393178 FAX393178 FKT393178 FUP393178 GEL393178 GOH393178 GYD393178 HHZ393178 HRV393178 IBR393178 ILN393178 IVJ393178 JFF393178 JPB393178 JYX393178 KIT393178 KSP393178 LCL393178 LMH393178 LWD393178 MFZ393178 MPV393178 MZR393178 NJN393178 NTJ393178 ODF393178 ONB393178 OWX393178 PGT393178 PQP393178 QAL393178 QKH393178 QUD393178 RDZ393178 RNV393178 RXR393178 SHN393178 SRJ393178 TBF393178 TLB393178 TUX393178 UET393178 UOP393178 UYL393178 VIH393178 VSD393178 WBZ393178 WLV393178 WVR393178 J458713 JF458714 TB458714 ACX458714 AMT458714 AWP458714 BGL458714 BQH458714 CAD458714 CJZ458714 CTV458714 DDR458714 DNN458714 DXJ458714 EHF458714 ERB458714 FAX458714 FKT458714 FUP458714 GEL458714 GOH458714 GYD458714 HHZ458714 HRV458714 IBR458714 ILN458714 IVJ458714 JFF458714 JPB458714 JYX458714 KIT458714 KSP458714 LCL458714 LMH458714 LWD458714 MFZ458714 MPV458714 MZR458714 NJN458714 NTJ458714 ODF458714 ONB458714 OWX458714 PGT458714 PQP458714 QAL458714 QKH458714 QUD458714 RDZ458714 RNV458714 RXR458714 SHN458714 SRJ458714 TBF458714 TLB458714 TUX458714 UET458714 UOP458714 UYL458714 VIH458714 VSD458714 WBZ458714 WLV458714 WVR458714 J524249 JF524250 TB524250 ACX524250 AMT524250 AWP524250 BGL524250 BQH524250 CAD524250 CJZ524250 CTV524250 DDR524250 DNN524250 DXJ524250 EHF524250 ERB524250 FAX524250 FKT524250 FUP524250 GEL524250 GOH524250 GYD524250 HHZ524250 HRV524250 IBR524250 ILN524250 IVJ524250 JFF524250 JPB524250 JYX524250 KIT524250 KSP524250 LCL524250 LMH524250 LWD524250 MFZ524250 MPV524250 MZR524250 NJN524250 NTJ524250 ODF524250 ONB524250 OWX524250 PGT524250 PQP524250 QAL524250 QKH524250 QUD524250 RDZ524250 RNV524250 RXR524250 SHN524250 SRJ524250 TBF524250 TLB524250 TUX524250 UET524250 UOP524250 UYL524250 VIH524250 VSD524250 WBZ524250 WLV524250 WVR524250 J589785 JF589786 TB589786 ACX589786 AMT589786 AWP589786 BGL589786 BQH589786 CAD589786 CJZ589786 CTV589786 DDR589786 DNN589786 DXJ589786 EHF589786 ERB589786 FAX589786 FKT589786 FUP589786 GEL589786 GOH589786 GYD589786 HHZ589786 HRV589786 IBR589786 ILN589786 IVJ589786 JFF589786 JPB589786 JYX589786 KIT589786 KSP589786 LCL589786 LMH589786 LWD589786 MFZ589786 MPV589786 MZR589786 NJN589786 NTJ589786 ODF589786 ONB589786 OWX589786 PGT589786 PQP589786 QAL589786 QKH589786 QUD589786 RDZ589786 RNV589786 RXR589786 SHN589786 SRJ589786 TBF589786 TLB589786 TUX589786 UET589786 UOP589786 UYL589786 VIH589786 VSD589786 WBZ589786 WLV589786 WVR589786 J655321 JF655322 TB655322 ACX655322 AMT655322 AWP655322 BGL655322 BQH655322 CAD655322 CJZ655322 CTV655322 DDR655322 DNN655322 DXJ655322 EHF655322 ERB655322 FAX655322 FKT655322 FUP655322 GEL655322 GOH655322 GYD655322 HHZ655322 HRV655322 IBR655322 ILN655322 IVJ655322 JFF655322 JPB655322 JYX655322 KIT655322 KSP655322 LCL655322 LMH655322 LWD655322 MFZ655322 MPV655322 MZR655322 NJN655322 NTJ655322 ODF655322 ONB655322 OWX655322 PGT655322 PQP655322 QAL655322 QKH655322 QUD655322 RDZ655322 RNV655322 RXR655322 SHN655322 SRJ655322 TBF655322 TLB655322 TUX655322 UET655322 UOP655322 UYL655322 VIH655322 VSD655322 WBZ655322 WLV655322 WVR655322 J720857 JF720858 TB720858 ACX720858 AMT720858 AWP720858 BGL720858 BQH720858 CAD720858 CJZ720858 CTV720858 DDR720858 DNN720858 DXJ720858 EHF720858 ERB720858 FAX720858 FKT720858 FUP720858 GEL720858 GOH720858 GYD720858 HHZ720858 HRV720858 IBR720858 ILN720858 IVJ720858 JFF720858 JPB720858 JYX720858 KIT720858 KSP720858 LCL720858 LMH720858 LWD720858 MFZ720858 MPV720858 MZR720858 NJN720858 NTJ720858 ODF720858 ONB720858 OWX720858 PGT720858 PQP720858 QAL720858 QKH720858 QUD720858 RDZ720858 RNV720858 RXR720858 SHN720858 SRJ720858 TBF720858 TLB720858 TUX720858 UET720858 UOP720858 UYL720858 VIH720858 VSD720858 WBZ720858 WLV720858 WVR720858 J786393 JF786394 TB786394 ACX786394 AMT786394 AWP786394 BGL786394 BQH786394 CAD786394 CJZ786394 CTV786394 DDR786394 DNN786394 DXJ786394 EHF786394 ERB786394 FAX786394 FKT786394 FUP786394 GEL786394 GOH786394 GYD786394 HHZ786394 HRV786394 IBR786394 ILN786394 IVJ786394 JFF786394 JPB786394 JYX786394 KIT786394 KSP786394 LCL786394 LMH786394 LWD786394 MFZ786394 MPV786394 MZR786394 NJN786394 NTJ786394 ODF786394 ONB786394 OWX786394 PGT786394 PQP786394 QAL786394 QKH786394 QUD786394 RDZ786394 RNV786394 RXR786394 SHN786394 SRJ786394 TBF786394 TLB786394 TUX786394 UET786394 UOP786394 UYL786394 VIH786394 VSD786394 WBZ786394 WLV786394 WVR786394 J851929 JF851930 TB851930 ACX851930 AMT851930 AWP851930 BGL851930 BQH851930 CAD851930 CJZ851930 CTV851930 DDR851930 DNN851930 DXJ851930 EHF851930 ERB851930 FAX851930 FKT851930 FUP851930 GEL851930 GOH851930 GYD851930 HHZ851930 HRV851930 IBR851930 ILN851930 IVJ851930 JFF851930 JPB851930 JYX851930 KIT851930 KSP851930 LCL851930 LMH851930 LWD851930 MFZ851930 MPV851930 MZR851930 NJN851930 NTJ851930 ODF851930 ONB851930 OWX851930 PGT851930 PQP851930 QAL851930 QKH851930 QUD851930 RDZ851930 RNV851930 RXR851930 SHN851930 SRJ851930 TBF851930 TLB851930 TUX851930 UET851930 UOP851930 UYL851930 VIH851930 VSD851930 WBZ851930 WLV851930 WVR851930 J917465 JF917466 TB917466 ACX917466 AMT917466 AWP917466 BGL917466 BQH917466 CAD917466 CJZ917466 CTV917466 DDR917466 DNN917466 DXJ917466 EHF917466 ERB917466 FAX917466 FKT917466 FUP917466 GEL917466 GOH917466 GYD917466 HHZ917466 HRV917466 IBR917466 ILN917466 IVJ917466 JFF917466 JPB917466 JYX917466 KIT917466 KSP917466 LCL917466 LMH917466 LWD917466 MFZ917466 MPV917466 MZR917466 NJN917466 NTJ917466 ODF917466 ONB917466 OWX917466 PGT917466 PQP917466 QAL917466 QKH917466 QUD917466 RDZ917466 RNV917466 RXR917466 SHN917466 SRJ917466 TBF917466 TLB917466 TUX917466 UET917466 UOP917466 UYL917466 VIH917466 VSD917466 WBZ917466 WLV917466 WVR917466 J983001 JF983002 TB983002 ACX983002 AMT983002 AWP983002 BGL983002 BQH983002 CAD983002 CJZ983002 CTV983002 DDR983002 DNN983002 DXJ983002 EHF983002 ERB983002 FAX983002 FKT983002 FUP983002 GEL983002 GOH983002 GYD983002 HHZ983002 HRV983002 IBR983002 ILN983002 IVJ983002 JFF983002 JPB983002 JYX983002 KIT983002 KSP983002 LCL983002 LMH983002 LWD983002 MFZ983002 MPV983002 MZR983002 NJN983002 NTJ983002 ODF983002 ONB983002 OWX983002 PGT983002 PQP983002 QAL983002 QKH983002 QUD983002 RDZ983002 RNV983002 RXR983002 SHN983002 SRJ983002 TBF983002 TLB983002 TUX983002 UET983002 UOP983002 UYL983002 VIH983002 VSD983002 WBZ983002">
      <formula1>Visits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showInputMessage="1" showErrorMessage="1">
          <x14:formula1>
            <xm:f>'Drop Down Master List'!$K$20:$K$22</xm:f>
          </x14:formula1>
          <xm:sqref>C17:C31</xm:sqref>
        </x14:dataValidation>
        <x14:dataValidation type="list" showInputMessage="1">
          <x14:formula1>
            <xm:f>'Drop Down Master List'!$K$25:$K$34</xm:f>
          </x14:formula1>
          <xm:sqref>E17:E27</xm:sqref>
        </x14:dataValidation>
        <x14:dataValidation type="list" allowBlank="1" showInputMessage="1" showErrorMessage="1">
          <x14:formula1>
            <xm:f>'Unit costs'!$B$25:$B$66</xm:f>
          </x14:formula1>
          <xm:sqref>B39:B52</xm:sqref>
        </x14:dataValidation>
        <x14:dataValidation type="list" showInputMessage="1">
          <x14:formula1>
            <xm:f>'Set up'!$B$18:$B$21</xm:f>
          </x14:formula1>
          <xm:sqref>E28:E31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vt:lpstr>
      <vt:lpstr>Instructions</vt:lpstr>
      <vt:lpstr>Set up</vt:lpstr>
      <vt:lpstr>Unit costs</vt:lpstr>
      <vt:lpstr>Blood sample &amp; packaging</vt:lpstr>
      <vt:lpstr>Centrifuge</vt:lpstr>
      <vt:lpstr>Running Machine</vt:lpstr>
      <vt:lpstr>Quality Assurance</vt:lpstr>
      <vt:lpstr>Training</vt:lpstr>
      <vt:lpstr>Transport</vt:lpstr>
      <vt:lpstr>Capital &amp; Overheads</vt:lpstr>
      <vt:lpstr>Results tables and graphs</vt:lpstr>
      <vt:lpstr>Drop Down Master List</vt:lpstr>
      <vt:lpstr>Selected populations</vt:lpstr>
      <vt:lpstr>Health Facilities</vt:lpstr>
    </vt:vector>
  </TitlesOfParts>
  <Company>Abt Associates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pstegman</dc:creator>
  <cp:lastModifiedBy>Chris Cintron</cp:lastModifiedBy>
  <dcterms:created xsi:type="dcterms:W3CDTF">2016-11-04T15:47:47Z</dcterms:created>
  <dcterms:modified xsi:type="dcterms:W3CDTF">2018-05-07T16:55:00Z</dcterms:modified>
</cp:coreProperties>
</file>